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2030" tabRatio="448" activeTab="0"/>
  </bookViews>
  <sheets>
    <sheet name="Ark 1 - Vejledning" sheetId="1" r:id="rId1"/>
    <sheet name="Ark 2 - Indtast egne tal" sheetId="2" r:id="rId2"/>
    <sheet name="Ark 3" sheetId="3" r:id="rId3"/>
    <sheet name="Ark 4" sheetId="4" r:id="rId4"/>
  </sheets>
  <definedNames>
    <definedName name="AS2DocOpenMode" hidden="1">"AS2DocumentEdit"</definedName>
    <definedName name="AS2HasNoAutoHeaderFooter" hidden="1">" "</definedName>
  </definedNames>
  <calcPr fullCalcOnLoad="1"/>
</workbook>
</file>

<file path=xl/sharedStrings.xml><?xml version="1.0" encoding="utf-8"?>
<sst xmlns="http://schemas.openxmlformats.org/spreadsheetml/2006/main" count="269" uniqueCount="213">
  <si>
    <t>1.2 - 31.12</t>
  </si>
  <si>
    <t>Assistent</t>
  </si>
  <si>
    <t>Antal interessenter</t>
  </si>
  <si>
    <t>Forudsætninger</t>
  </si>
  <si>
    <t>kr.</t>
  </si>
  <si>
    <t>Antal interessenter/ejere i klinik</t>
  </si>
  <si>
    <t>Antal arbejdsdage pr. ejerlæge</t>
  </si>
  <si>
    <t>Udgifter til materialer, apotekervarer mv.</t>
  </si>
  <si>
    <t>Husleje (kun hvis praksis bor i lejede lokaler)</t>
  </si>
  <si>
    <t>Administrationsomkostninger (ekskl. Lønsumafgift og</t>
  </si>
  <si>
    <t>timer pr. uge</t>
  </si>
  <si>
    <t>Antal arbejdstimer for assisterende speciallæge</t>
  </si>
  <si>
    <t>%</t>
  </si>
  <si>
    <t>Antal arbejdtimer pr. uge pr. lægeejer</t>
  </si>
  <si>
    <t>Overskud pr. ejer</t>
  </si>
  <si>
    <t>Afskrivning, goodwill/instrumentarium</t>
  </si>
  <si>
    <t>Overskud pr. arbejdstime</t>
  </si>
  <si>
    <t>Antal arbejdsuger</t>
  </si>
  <si>
    <t>uger pr. år</t>
  </si>
  <si>
    <t>Antal arbejdsuger pr. år.</t>
  </si>
  <si>
    <t>Udbetales der feriepenge til assisterende læge</t>
  </si>
  <si>
    <t>Indbetaling til pension for assisterende læge</t>
  </si>
  <si>
    <t>Ja/nej</t>
  </si>
  <si>
    <t>ja</t>
  </si>
  <si>
    <t>Samlet vederlag til assisterende læge, pr. time</t>
  </si>
  <si>
    <t>Hele praksis</t>
  </si>
  <si>
    <t>Potentiale</t>
  </si>
  <si>
    <t>Forventet øgning af omsætning ved assisterende speciallæge</t>
  </si>
  <si>
    <t>Yderligere omkostninger ved udnyttelse af potentiale</t>
  </si>
  <si>
    <t xml:space="preserve">  - Udgifter til materiale</t>
  </si>
  <si>
    <t xml:space="preserve">  - personaleomkostninger</t>
  </si>
  <si>
    <t xml:space="preserve">  - lokaleomkostninger (leje af lokaler)</t>
  </si>
  <si>
    <t xml:space="preserve">  - administrationsomkostninger</t>
  </si>
  <si>
    <t>Omkostning til indretning af klinik</t>
  </si>
  <si>
    <t>Bonuspulje</t>
  </si>
  <si>
    <t>Overskudsgrad, bonuspulje</t>
  </si>
  <si>
    <t>Bonuspulje fordeles eventuelt ud fra arbejdsmængde ud over aftalt arbejdsmængde</t>
  </si>
  <si>
    <t>Basishonorar</t>
  </si>
  <si>
    <t>Antal patienter</t>
  </si>
  <si>
    <t>Basishonorar pr. patient pr. år</t>
  </si>
  <si>
    <t>Specifikation af ansat læges vederlag</t>
  </si>
  <si>
    <t>Omkostninger før lønsumsafgift</t>
  </si>
  <si>
    <t>Honorar, gruppe 2 + attester mv.</t>
  </si>
  <si>
    <t>Skønnet værdi af goodwill (hele praksis)</t>
  </si>
  <si>
    <t>Administrationsomkostninger (ekskl. Lønsumafgift og andre driftsfremmede omkostninger (bil mv.)</t>
  </si>
  <si>
    <t>Øvrige personaleudgifter (eksklusiv lønsumsafgift)</t>
  </si>
  <si>
    <t>Personaleudgifter i alt, eksklusiv lønsumsafgift</t>
  </si>
  <si>
    <t xml:space="preserve">Lokaleomkostninger i alt </t>
  </si>
  <si>
    <r>
      <t>Provisionsprocent (</t>
    </r>
    <r>
      <rPr>
        <b/>
        <sz val="10"/>
        <rFont val="Arial"/>
        <family val="2"/>
      </rPr>
      <t xml:space="preserve">procentsats af den ansatte læges </t>
    </r>
  </si>
  <si>
    <r>
      <t>afregnede ydelseshonorarer, der udbetales som provisionsløn</t>
    </r>
    <r>
      <rPr>
        <b/>
        <sz val="12"/>
        <rFont val="Arial"/>
        <family val="2"/>
      </rPr>
      <t>)</t>
    </r>
  </si>
  <si>
    <t>Bemærk, at der ved beregningen af provisionsprocenten er indregnet værdien af basishonorar til praksis.</t>
  </si>
  <si>
    <t>ydelseshonorar, inkl. gruppe 2 + attester</t>
  </si>
  <si>
    <t xml:space="preserve">Rent teknisk er det sket ved at benytte følgende regnestykke: </t>
  </si>
  <si>
    <t>overskud, inkl. basishonorar    x    100</t>
  </si>
  <si>
    <t>Honorar - ansat speciallæge, sygesikringen (ekskl. Vagtindtjening)</t>
  </si>
  <si>
    <t>I alt forventede honorarer</t>
  </si>
  <si>
    <t>andre driftsfremmede omkostninger (bil mv.)</t>
  </si>
  <si>
    <t>afregnede ydelseshonorarer udgør (samlet udgift for arbejdsgiverlæge)</t>
  </si>
  <si>
    <t xml:space="preserve">Regnearket indeholder 4 ark, hvoraf denne vejledning er den første. Tryk </t>
  </si>
  <si>
    <t>på fanebladene nederst på siden for at komme videre til de næste ark.</t>
  </si>
  <si>
    <t>Klik på ark  3 og 4 for at få flere detaljer.</t>
  </si>
  <si>
    <t>GÅ TIL ARK 2</t>
  </si>
  <si>
    <t>Forudsætninger vedrørende investering ved ejerskab:</t>
  </si>
  <si>
    <t>ARK 1</t>
  </si>
  <si>
    <t>ARK 2</t>
  </si>
  <si>
    <t>ARK 3</t>
  </si>
  <si>
    <t xml:space="preserve">hvorved den faktiske provisionsprocent i forhold til </t>
  </si>
  <si>
    <t xml:space="preserve">Hertil kommer feriepenge og pension i.h.t. standardansættelseskontrakt 11,67%, </t>
  </si>
  <si>
    <t>Til brug for beregning af omkostninger ved skævt ejerskab</t>
  </si>
  <si>
    <t>Ejerandel</t>
  </si>
  <si>
    <t>Læge 1</t>
  </si>
  <si>
    <t>Overskuds-</t>
  </si>
  <si>
    <t>andel</t>
  </si>
  <si>
    <t>Læge 2</t>
  </si>
  <si>
    <t>Læge 3</t>
  </si>
  <si>
    <t>Læge 4</t>
  </si>
  <si>
    <t>Læge 5</t>
  </si>
  <si>
    <t>Læge 6</t>
  </si>
  <si>
    <t>Samlet</t>
  </si>
  <si>
    <t>Kapitalafkast</t>
  </si>
  <si>
    <t xml:space="preserve">Bestem </t>
  </si>
  <si>
    <t>min</t>
  </si>
  <si>
    <t>Bestem</t>
  </si>
  <si>
    <t>antal</t>
  </si>
  <si>
    <t>ind. Andel</t>
  </si>
  <si>
    <t>gns</t>
  </si>
  <si>
    <t>Andel</t>
  </si>
  <si>
    <t>i pulje</t>
  </si>
  <si>
    <t>Beregnet samlet afskrivning på samlede driftsmidler anvendt i klinik</t>
  </si>
  <si>
    <t>Skønnet lejeværdi af klinikejendom (kun hvis klinik bor i egne lokaler)</t>
  </si>
  <si>
    <t>Lejeværdien kan beregnes på grundlag af antal kvm. i ejendommen, samt</t>
  </si>
  <si>
    <t>lejeniveau i området</t>
  </si>
  <si>
    <t>Antal kvm. i klinikejendom</t>
  </si>
  <si>
    <t>kvm.</t>
  </si>
  <si>
    <t xml:space="preserve">Leje pr. kvm. </t>
  </si>
  <si>
    <t>Driftsudgifter for ejere pr. kvm.</t>
  </si>
  <si>
    <t>Samlet leje pr. kvm.</t>
  </si>
  <si>
    <t>Lejeværdi</t>
  </si>
  <si>
    <t>Lønudgift til ansat personale</t>
  </si>
  <si>
    <t>Pension til ansat personale</t>
  </si>
  <si>
    <t>Lokaleomkostninger</t>
  </si>
  <si>
    <t xml:space="preserve">  Varme, el &amp; vand</t>
  </si>
  <si>
    <t xml:space="preserve">  Rengøring</t>
  </si>
  <si>
    <t xml:space="preserve">  Indvendig vedligeholdelse</t>
  </si>
  <si>
    <t xml:space="preserve">  Ejendomsskat (påhviler ejerskabet)</t>
  </si>
  <si>
    <t xml:space="preserve">  Ejerforening/fællesomkostninger (påhviler ejerskabet)</t>
  </si>
  <si>
    <t xml:space="preserve">  Ejendomsforsikring (påhviler ejerskabet)</t>
  </si>
  <si>
    <t xml:space="preserve">  Udvendig vedligeholdelse (påhviler ejerskabet)</t>
  </si>
  <si>
    <t>D) Kapitalafkast af goodwill</t>
  </si>
  <si>
    <t>Forventede honorarer i lægepraksis :</t>
  </si>
  <si>
    <t>I alt forventede honorarindtægter ekskl. vagtindtjening</t>
  </si>
  <si>
    <t>Lokaleomkostninger i alt (klinikken)</t>
  </si>
  <si>
    <t>C) vurderet lejeværdi, klinikejendom, kr.</t>
  </si>
  <si>
    <t>Læge 7</t>
  </si>
  <si>
    <t>I alt</t>
  </si>
  <si>
    <t>Kapital-</t>
  </si>
  <si>
    <t>Lokaleomkostninger i alt (ejerskabet)</t>
  </si>
  <si>
    <t>Finansielle poster</t>
  </si>
  <si>
    <t>Resultat i henhold til I/S regnskab</t>
  </si>
  <si>
    <t>Fordeling af overskud</t>
  </si>
  <si>
    <t xml:space="preserve">  Diverse</t>
  </si>
  <si>
    <t>Renteintægter/renteudgifter, netto (ekskl. renter ved ejendoms-</t>
  </si>
  <si>
    <t>finansiering) - omkostning = "-"</t>
  </si>
  <si>
    <t>Renteudgift vedr. ejendomsfinansiering</t>
  </si>
  <si>
    <t>Afskrivninger, bygninger, inventar, instrumentarium, indretning</t>
  </si>
  <si>
    <t>Overføres til F89</t>
  </si>
  <si>
    <t>Regnearket kan bruges i I/S med op til 7 læger/kompagnoner</t>
  </si>
  <si>
    <t>afkast</t>
  </si>
  <si>
    <t>Vejledning vedrørende beregning af</t>
  </si>
  <si>
    <t>ejendomme (fiktiv husleje)</t>
  </si>
  <si>
    <t>For at bruge regnearket skal følgende materiale være til rådighed :</t>
  </si>
  <si>
    <t xml:space="preserve">  - Beregning af afskrivninger på inventar/instrumentarium/indretning på det udstyr, som</t>
  </si>
  <si>
    <t xml:space="preserve">     bruges i den fælles klinik</t>
  </si>
  <si>
    <r>
      <t xml:space="preserve">  - </t>
    </r>
    <r>
      <rPr>
        <b/>
        <sz val="11"/>
        <rFont val="Arial"/>
        <family val="2"/>
      </rPr>
      <t>Hvis klinikejendommen ejes af lægerne</t>
    </r>
    <r>
      <rPr>
        <sz val="11"/>
        <rFont val="Arial"/>
        <family val="2"/>
      </rPr>
      <t>, vurdering af huslejeniveau for klinikejendom-</t>
    </r>
  </si>
  <si>
    <t xml:space="preserve">     men. Dette vil typisk indebære oplysning om kvm.leje (kan typisk oplyses af ejendoms-</t>
  </si>
  <si>
    <t xml:space="preserve">     mægler/ejendomsvaluar i området), samt ejendommens størrelse. Endvidere kræves</t>
  </si>
  <si>
    <t xml:space="preserve">     oplysning om ejendomsskat, ejendomsforsikring, fællesudgifter, ejerforeningsbidrag, samt</t>
  </si>
  <si>
    <t xml:space="preserve">     den almindelige drift.</t>
  </si>
  <si>
    <t>Honorarindtægter i alt (ekskl. vagtindtjening)</t>
  </si>
  <si>
    <t>Mellemtotal</t>
  </si>
  <si>
    <t>B) Afskrivning på inventar, instrumentarium og indretning, kr.</t>
  </si>
  <si>
    <t>A) Goodwillværdi, kr.:</t>
  </si>
  <si>
    <t>Kapitalafkastpct.</t>
  </si>
  <si>
    <t>Alle tal er automatisk overført fra Ark 2</t>
  </si>
  <si>
    <t>Resultat i alt før fradrag af kapitalafkast</t>
  </si>
  <si>
    <t>Renteomkostning vedr. ejendom (ejerskabet)</t>
  </si>
  <si>
    <t>Afskrivninger, inventar, instrumentarium, indretning, ejendom (ejerskabet)</t>
  </si>
  <si>
    <t>Omkostninger vedrørende ejerskabet, tilbageføres</t>
  </si>
  <si>
    <t>andel før kapitalafkast</t>
  </si>
  <si>
    <t>Overskudsandel</t>
  </si>
  <si>
    <t>i I/S</t>
  </si>
  <si>
    <t>til udbetaling</t>
  </si>
  <si>
    <t>vedrørende</t>
  </si>
  <si>
    <t>Bemærkning</t>
  </si>
  <si>
    <t>Oplysning hentes fra seneste årsregnskab</t>
  </si>
  <si>
    <t>Mellemtotal - omkostninger på ejendom - påhviler ejerskabet</t>
  </si>
  <si>
    <t>Afstemmes til seneste årsregnskab</t>
  </si>
  <si>
    <t>Klinikejendom</t>
  </si>
  <si>
    <t>Værdi af klinikejendom</t>
  </si>
  <si>
    <t>Lejeværdi af klinikejendom i procent af ejendomsværdi</t>
  </si>
  <si>
    <t>inventar/instrum./ejendom/indr.</t>
  </si>
  <si>
    <t>betalt af I/S</t>
  </si>
  <si>
    <t>Overskud før kapitalafkast til ejere</t>
  </si>
  <si>
    <t>På ark 4 kan du se, hvordan det samlede overskud fordeles efter korrektion for kapitalafkast i forhold til ejerandele.</t>
  </si>
  <si>
    <t>Udgangspunktet for beregneren er det senest aflagte årsregnskab, hvortil der så laves korrektioner.</t>
  </si>
  <si>
    <t xml:space="preserve">  - Seneste årsregnskab</t>
  </si>
  <si>
    <t>Resultat i lægepraksis</t>
  </si>
  <si>
    <t>I dette regneeksempel bor praksis i egne lokaler</t>
  </si>
  <si>
    <t xml:space="preserve">Linje 36-40 udfyldes uanset om praksis bor i lejede eller egne lokaler </t>
  </si>
  <si>
    <t>Regulering for omkostninger</t>
  </si>
  <si>
    <t>Regulering i den blå søjle tager</t>
  </si>
  <si>
    <t>højde for udgifter, som partnerlægen</t>
  </si>
  <si>
    <t>Den gule søjle</t>
  </si>
  <si>
    <t>viser, at partner-</t>
  </si>
  <si>
    <t xml:space="preserve">lægen godskrives </t>
  </si>
  <si>
    <t>Disse udgifter fordeles efter overskudsandel</t>
  </si>
  <si>
    <t>Disse udgifter fordeles efter ejerandel</t>
  </si>
  <si>
    <t>Oplysning hentes fra seneste årsregnskab. Medtages principielt alene af hensyn til afstemning til årsregnskab</t>
  </si>
  <si>
    <r>
      <t xml:space="preserve">Oplysning hentes fra seneste årsregnskab. </t>
    </r>
    <r>
      <rPr>
        <sz val="10"/>
        <color indexed="10"/>
        <rFont val="Arial"/>
        <family val="2"/>
      </rPr>
      <t>Fordeles efter ejerandel</t>
    </r>
  </si>
  <si>
    <r>
      <t xml:space="preserve">Kan ofte hentes i seneste årsregnskab, ellers skal det beregnes. </t>
    </r>
    <r>
      <rPr>
        <sz val="10"/>
        <color indexed="10"/>
        <rFont val="Arial"/>
        <family val="2"/>
      </rPr>
      <t>Fordeles efter overskudsandel.</t>
    </r>
  </si>
  <si>
    <t>overskudsandel - i/s med partnerlæge</t>
  </si>
  <si>
    <t>Formålet med dette regneark er at give støtte til beregning</t>
  </si>
  <si>
    <t>af overskudsandel i praksis med skæve ejerandele.</t>
  </si>
  <si>
    <t>Kapitalafkastet beregnes for skævdeling af ejerandele vedrørende goodwill,</t>
  </si>
  <si>
    <t>inventar/instrumentarium/indretning, samt ved klinik-</t>
  </si>
  <si>
    <t xml:space="preserve">    udvendig vedligeholdelse, hvilket kan fordre opdeling af posten i bogholderiet. Endelig</t>
  </si>
  <si>
    <t xml:space="preserve">kapitalafkast </t>
  </si>
  <si>
    <t>svarende til ejerandel</t>
  </si>
  <si>
    <t>kun skal afholde svarende til ejerandel</t>
  </si>
  <si>
    <t>Ved forskellige kapitalafkastprocenter fremkommer forskellig overskudsdeling på ark 4. Aftales.</t>
  </si>
  <si>
    <t xml:space="preserve">Regnearket er indrettet sådan, at man kan regne sig frem </t>
  </si>
  <si>
    <t>til et konkret overskudsfordeling, som begge parter finder rimelig,</t>
  </si>
  <si>
    <t>ved at regulere på det, der i regnearket benævnes ”kapitalafkastprocent”.</t>
  </si>
  <si>
    <t xml:space="preserve">Hvis man benytter regnearket, skal det opdateres hvert år, når årsregnskab for </t>
  </si>
  <si>
    <t xml:space="preserve">praksis foreligger. Det vil være hensigtsmæssigt at aftale, at den senest aftalte </t>
  </si>
  <si>
    <t>kapitalafkastprocent anvendes, indtil anden aftale indgås.</t>
  </si>
  <si>
    <t xml:space="preserve">Indtast egne tal i de gule felter. Tallene indgår i beregningerne på ark 4. </t>
  </si>
  <si>
    <t xml:space="preserve">På ark 3 kan du se størrelsen af det samlede overskud før fordeling af kapitalafkast til ejerne. </t>
  </si>
  <si>
    <t>Kan eksempelvis findes fra seneste handel, hvor ejendommen er handlet</t>
  </si>
  <si>
    <t>Som tommelfingerregel kan lejeværdien oopgøres til 9% af ejendomsværdien</t>
  </si>
  <si>
    <t xml:space="preserve">     skal renteomkostninger kunne opdeles på renter vedr. ejendommen og renter vedrørende</t>
  </si>
  <si>
    <t>Lønsumsafgift af personale udgifter</t>
  </si>
  <si>
    <t>Lønsumsafgiftspct.</t>
  </si>
  <si>
    <t>Hvis der ikke angives beløb, beregnes skønsmæssigt beløb</t>
  </si>
  <si>
    <t>Anvendes kun, hvis celle F32 er 0</t>
  </si>
  <si>
    <t>Skal eventuelt opdeles med celle F48</t>
  </si>
  <si>
    <t>Skal eventuelt opdeles med celle F40</t>
  </si>
  <si>
    <t>Beregnes på grundlag af F100*F101</t>
  </si>
  <si>
    <t>Lønsumsafgift af personalelønninger</t>
  </si>
  <si>
    <t xml:space="preserve">Herfra skal trækkes </t>
  </si>
  <si>
    <t>lønsumsafgift af årets</t>
  </si>
  <si>
    <t>resultat - beregnes for</t>
  </si>
  <si>
    <t>hver partner hver for sig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</si>
</sst>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\(#,##0\);#,##0_)"/>
    <numFmt numFmtId="173" formatCode="#,##0,_);\(#,##0,\)"/>
    <numFmt numFmtId="174" formatCode="\(#,##0,\);#,##0,_)"/>
    <numFmt numFmtId="175" formatCode="\(#,##0.00\);#,##0.00_)"/>
    <numFmt numFmtId="176" formatCode="#,##0_);\(#,##0\);0_);@"/>
    <numFmt numFmtId="177" formatCode="_ * #,##0_ ;_ * \-#,##0_ ;_ * &quot;-&quot;??_ ;_ @_ "/>
    <numFmt numFmtId="178" formatCode="0.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.5"/>
      <name val="Verdan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76"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3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3" applyNumberFormat="0" applyAlignment="0" applyProtection="0"/>
    <xf numFmtId="0" fontId="1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1" borderId="4" applyNumberFormat="0" applyAlignment="0" applyProtection="0"/>
    <xf numFmtId="49" fontId="4" fillId="0" borderId="0" applyFill="0" applyBorder="0" applyProtection="0">
      <alignment horizontal="center"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37" fontId="4" fillId="0" borderId="9" applyFill="0" applyAlignment="0" applyProtection="0"/>
    <xf numFmtId="172" fontId="4" fillId="0" borderId="9" applyFill="0" applyAlignment="0" applyProtection="0"/>
    <xf numFmtId="173" fontId="4" fillId="0" borderId="9" applyFill="0" applyAlignment="0" applyProtection="0"/>
    <xf numFmtId="174" fontId="4" fillId="0" borderId="9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176" fontId="6" fillId="0" borderId="10" xfId="0" applyFont="1" applyBorder="1" applyAlignment="1">
      <alignment horizontal="center"/>
    </xf>
    <xf numFmtId="177" fontId="0" fillId="0" borderId="0" xfId="51" applyNumberFormat="1" applyFont="1" applyAlignment="1">
      <alignment/>
    </xf>
    <xf numFmtId="10" fontId="0" fillId="0" borderId="0" xfId="66" applyNumberFormat="1" applyFont="1" applyAlignment="1">
      <alignment/>
    </xf>
    <xf numFmtId="176" fontId="0" fillId="0" borderId="0" xfId="0" applyBorder="1" applyAlignment="1">
      <alignment horizontal="center"/>
    </xf>
    <xf numFmtId="177" fontId="0" fillId="0" borderId="0" xfId="51" applyNumberFormat="1" applyFont="1" applyBorder="1" applyAlignment="1">
      <alignment/>
    </xf>
    <xf numFmtId="176" fontId="6" fillId="0" borderId="0" xfId="0" applyFont="1" applyAlignment="1">
      <alignment/>
    </xf>
    <xf numFmtId="177" fontId="6" fillId="0" borderId="9" xfId="51" applyNumberFormat="1" applyFont="1" applyBorder="1" applyAlignment="1">
      <alignment/>
    </xf>
    <xf numFmtId="176" fontId="0" fillId="0" borderId="0" xfId="0" applyBorder="1" applyAlignment="1">
      <alignment/>
    </xf>
    <xf numFmtId="177" fontId="0" fillId="0" borderId="10" xfId="51" applyNumberFormat="1" applyFont="1" applyBorder="1" applyAlignment="1">
      <alignment/>
    </xf>
    <xf numFmtId="0" fontId="0" fillId="0" borderId="0" xfId="59">
      <alignment/>
      <protection/>
    </xf>
    <xf numFmtId="0" fontId="6" fillId="0" borderId="0" xfId="59" applyFont="1">
      <alignment/>
      <protection/>
    </xf>
    <xf numFmtId="0" fontId="6" fillId="0" borderId="10" xfId="59" applyFont="1" applyBorder="1" quotePrefix="1">
      <alignment/>
      <protection/>
    </xf>
    <xf numFmtId="177" fontId="0" fillId="0" borderId="0" xfId="59" applyNumberFormat="1">
      <alignment/>
      <protection/>
    </xf>
    <xf numFmtId="0" fontId="0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0" xfId="56" applyFont="1">
      <alignment/>
      <protection/>
    </xf>
    <xf numFmtId="41" fontId="0" fillId="0" borderId="0" xfId="56" applyNumberFormat="1" applyFont="1">
      <alignment/>
      <protection/>
    </xf>
    <xf numFmtId="41" fontId="0" fillId="33" borderId="0" xfId="56" applyNumberFormat="1" applyFont="1" applyFill="1">
      <alignment/>
      <protection/>
    </xf>
    <xf numFmtId="41" fontId="0" fillId="34" borderId="0" xfId="56" applyNumberFormat="1" applyFont="1" applyFill="1">
      <alignment/>
      <protection/>
    </xf>
    <xf numFmtId="177" fontId="6" fillId="0" borderId="11" xfId="51" applyNumberFormat="1" applyFont="1" applyBorder="1" applyAlignment="1">
      <alignment/>
    </xf>
    <xf numFmtId="41" fontId="0" fillId="33" borderId="0" xfId="56" applyNumberFormat="1" applyFont="1" applyFill="1" applyAlignment="1">
      <alignment horizontal="right"/>
      <protection/>
    </xf>
    <xf numFmtId="177" fontId="8" fillId="0" borderId="0" xfId="51" applyNumberFormat="1" applyFont="1" applyAlignment="1">
      <alignment/>
    </xf>
    <xf numFmtId="176" fontId="9" fillId="0" borderId="0" xfId="0" applyFont="1" applyAlignment="1">
      <alignment/>
    </xf>
    <xf numFmtId="0" fontId="6" fillId="0" borderId="10" xfId="59" applyFont="1" applyBorder="1">
      <alignment/>
      <protection/>
    </xf>
    <xf numFmtId="41" fontId="0" fillId="0" borderId="0" xfId="59" applyNumberFormat="1">
      <alignment/>
      <protection/>
    </xf>
    <xf numFmtId="41" fontId="0" fillId="0" borderId="0" xfId="51" applyNumberFormat="1" applyFont="1" applyAlignment="1">
      <alignment/>
    </xf>
    <xf numFmtId="41" fontId="0" fillId="0" borderId="10" xfId="59" applyNumberFormat="1" applyBorder="1">
      <alignment/>
      <protection/>
    </xf>
    <xf numFmtId="41" fontId="5" fillId="0" borderId="10" xfId="59" applyNumberFormat="1" applyFont="1" applyBorder="1">
      <alignment/>
      <protection/>
    </xf>
    <xf numFmtId="176" fontId="5" fillId="0" borderId="0" xfId="0" applyFont="1" applyBorder="1" applyAlignment="1">
      <alignment/>
    </xf>
    <xf numFmtId="176" fontId="0" fillId="0" borderId="0" xfId="0" applyFont="1" applyAlignment="1">
      <alignment/>
    </xf>
    <xf numFmtId="41" fontId="0" fillId="0" borderId="0" xfId="0" applyNumberFormat="1" applyAlignment="1">
      <alignment/>
    </xf>
    <xf numFmtId="176" fontId="5" fillId="35" borderId="10" xfId="0" applyFont="1" applyFill="1" applyBorder="1" applyAlignment="1">
      <alignment/>
    </xf>
    <xf numFmtId="176" fontId="5" fillId="35" borderId="11" xfId="0" applyFont="1" applyFill="1" applyBorder="1" applyAlignment="1">
      <alignment/>
    </xf>
    <xf numFmtId="41" fontId="5" fillId="35" borderId="10" xfId="59" applyNumberFormat="1" applyFont="1" applyFill="1" applyBorder="1">
      <alignment/>
      <protection/>
    </xf>
    <xf numFmtId="9" fontId="5" fillId="35" borderId="11" xfId="66" applyFont="1" applyFill="1" applyBorder="1" applyAlignment="1">
      <alignment/>
    </xf>
    <xf numFmtId="9" fontId="5" fillId="0" borderId="0" xfId="66" applyFont="1" applyBorder="1" applyAlignment="1">
      <alignment/>
    </xf>
    <xf numFmtId="9" fontId="0" fillId="0" borderId="0" xfId="66" applyFont="1" applyAlignment="1">
      <alignment/>
    </xf>
    <xf numFmtId="178" fontId="5" fillId="0" borderId="0" xfId="66" applyNumberFormat="1" applyFont="1" applyBorder="1" applyAlignment="1">
      <alignment/>
    </xf>
    <xf numFmtId="41" fontId="0" fillId="33" borderId="0" xfId="56" applyNumberFormat="1" applyFont="1" applyFill="1" applyProtection="1">
      <alignment/>
      <protection locked="0"/>
    </xf>
    <xf numFmtId="0" fontId="5" fillId="0" borderId="0" xfId="59" applyFont="1">
      <alignment/>
      <protection/>
    </xf>
    <xf numFmtId="10" fontId="5" fillId="0" borderId="0" xfId="66" applyNumberFormat="1" applyFont="1" applyAlignment="1">
      <alignment/>
    </xf>
    <xf numFmtId="171" fontId="0" fillId="0" borderId="0" xfId="59" applyNumberFormat="1">
      <alignment/>
      <protection/>
    </xf>
    <xf numFmtId="177" fontId="6" fillId="0" borderId="10" xfId="51" applyNumberFormat="1" applyFont="1" applyBorder="1" applyAlignment="1">
      <alignment/>
    </xf>
    <xf numFmtId="0" fontId="6" fillId="0" borderId="0" xfId="59" applyFont="1">
      <alignment/>
      <protection/>
    </xf>
    <xf numFmtId="0" fontId="0" fillId="0" borderId="0" xfId="56" applyFont="1">
      <alignment/>
      <protection/>
    </xf>
    <xf numFmtId="0" fontId="11" fillId="0" borderId="0" xfId="56" applyFont="1">
      <alignment/>
      <protection/>
    </xf>
    <xf numFmtId="41" fontId="0" fillId="0" borderId="0" xfId="56" applyNumberFormat="1" applyFont="1">
      <alignment/>
      <protection/>
    </xf>
    <xf numFmtId="41" fontId="0" fillId="33" borderId="0" xfId="56" applyNumberFormat="1" applyFont="1" applyFill="1">
      <alignment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41" fontId="0" fillId="0" borderId="0" xfId="56" applyNumberFormat="1" applyFont="1">
      <alignment/>
      <protection/>
    </xf>
    <xf numFmtId="176" fontId="0" fillId="0" borderId="0" xfId="0" applyFont="1" applyAlignment="1">
      <alignment/>
    </xf>
    <xf numFmtId="0" fontId="0" fillId="0" borderId="0" xfId="59" applyFont="1">
      <alignment/>
      <protection/>
    </xf>
    <xf numFmtId="0" fontId="12" fillId="0" borderId="0" xfId="59" applyFont="1">
      <alignment/>
      <protection/>
    </xf>
    <xf numFmtId="0" fontId="4" fillId="0" borderId="0" xfId="56" applyFont="1">
      <alignment/>
      <protection/>
    </xf>
    <xf numFmtId="41" fontId="6" fillId="0" borderId="0" xfId="56" applyNumberFormat="1" applyFont="1">
      <alignment/>
      <protection/>
    </xf>
    <xf numFmtId="41" fontId="6" fillId="33" borderId="0" xfId="56" applyNumberFormat="1" applyFont="1" applyFill="1" applyProtection="1">
      <alignment/>
      <protection locked="0"/>
    </xf>
    <xf numFmtId="10" fontId="6" fillId="0" borderId="0" xfId="66" applyNumberFormat="1" applyFont="1" applyBorder="1" applyAlignment="1">
      <alignment/>
    </xf>
    <xf numFmtId="41" fontId="0" fillId="33" borderId="0" xfId="56" applyNumberFormat="1" applyFont="1" applyFill="1" applyProtection="1">
      <alignment/>
      <protection locked="0"/>
    </xf>
    <xf numFmtId="0" fontId="0" fillId="0" borderId="0" xfId="59" applyFont="1">
      <alignment/>
      <protection/>
    </xf>
    <xf numFmtId="0" fontId="3" fillId="0" borderId="0" xfId="56" applyFont="1">
      <alignment/>
      <protection/>
    </xf>
    <xf numFmtId="176" fontId="3" fillId="0" borderId="0" xfId="0" applyFont="1" applyAlignment="1">
      <alignment/>
    </xf>
    <xf numFmtId="176" fontId="14" fillId="0" borderId="0" xfId="54" applyNumberFormat="1" applyFont="1" applyAlignment="1" applyProtection="1">
      <alignment/>
      <protection/>
    </xf>
    <xf numFmtId="176" fontId="15" fillId="0" borderId="0" xfId="54" applyNumberFormat="1" applyFont="1" applyAlignment="1" applyProtection="1">
      <alignment/>
      <protection/>
    </xf>
    <xf numFmtId="41" fontId="6" fillId="34" borderId="0" xfId="56" applyNumberFormat="1" applyFont="1" applyFill="1" applyProtection="1">
      <alignment/>
      <protection/>
    </xf>
    <xf numFmtId="178" fontId="0" fillId="0" borderId="0" xfId="56" applyNumberFormat="1" applyFont="1">
      <alignment/>
      <protection/>
    </xf>
    <xf numFmtId="178" fontId="6" fillId="0" borderId="0" xfId="66" applyNumberFormat="1" applyFont="1" applyAlignment="1">
      <alignment/>
    </xf>
    <xf numFmtId="178" fontId="0" fillId="33" borderId="0" xfId="66" applyNumberFormat="1" applyFont="1" applyFill="1" applyAlignment="1" applyProtection="1">
      <alignment/>
      <protection locked="0"/>
    </xf>
    <xf numFmtId="41" fontId="0" fillId="0" borderId="0" xfId="56" applyNumberFormat="1" applyFont="1" applyFill="1" applyProtection="1">
      <alignment/>
      <protection locked="0"/>
    </xf>
    <xf numFmtId="178" fontId="0" fillId="33" borderId="0" xfId="66" applyNumberFormat="1" applyFont="1" applyFill="1" applyAlignment="1" applyProtection="1">
      <alignment/>
      <protection locked="0"/>
    </xf>
    <xf numFmtId="177" fontId="6" fillId="0" borderId="0" xfId="51" applyNumberFormat="1" applyFont="1" applyBorder="1" applyAlignment="1">
      <alignment/>
    </xf>
    <xf numFmtId="176" fontId="6" fillId="35" borderId="0" xfId="0" applyFont="1" applyFill="1" applyAlignment="1">
      <alignment/>
    </xf>
    <xf numFmtId="176" fontId="6" fillId="36" borderId="0" xfId="0" applyFont="1" applyFill="1" applyAlignment="1">
      <alignment/>
    </xf>
    <xf numFmtId="177" fontId="6" fillId="36" borderId="10" xfId="51" applyNumberFormat="1" applyFont="1" applyFill="1" applyBorder="1" applyAlignment="1">
      <alignment/>
    </xf>
    <xf numFmtId="176" fontId="0" fillId="37" borderId="0" xfId="0" applyFont="1" applyFill="1" applyAlignment="1">
      <alignment/>
    </xf>
    <xf numFmtId="177" fontId="0" fillId="37" borderId="10" xfId="51" applyNumberFormat="1" applyFont="1" applyFill="1" applyBorder="1" applyAlignment="1">
      <alignment/>
    </xf>
    <xf numFmtId="177" fontId="13" fillId="38" borderId="0" xfId="51" applyNumberFormat="1" applyFont="1" applyFill="1" applyAlignment="1">
      <alignment/>
    </xf>
    <xf numFmtId="169" fontId="0" fillId="0" borderId="0" xfId="58" applyNumberFormat="1" applyFont="1">
      <alignment/>
      <protection/>
    </xf>
    <xf numFmtId="169" fontId="0" fillId="37" borderId="0" xfId="58" applyNumberFormat="1" applyFont="1" applyFill="1">
      <alignment/>
      <protection/>
    </xf>
    <xf numFmtId="169" fontId="0" fillId="35" borderId="0" xfId="58" applyNumberFormat="1" applyFont="1" applyFill="1">
      <alignment/>
      <protection/>
    </xf>
    <xf numFmtId="169" fontId="0" fillId="36" borderId="0" xfId="58" applyNumberFormat="1" applyFont="1" applyFill="1">
      <alignment/>
      <protection/>
    </xf>
    <xf numFmtId="169" fontId="0" fillId="38" borderId="0" xfId="58" applyNumberFormat="1" applyFont="1" applyFill="1">
      <alignment/>
      <protection/>
    </xf>
    <xf numFmtId="169" fontId="0" fillId="0" borderId="0" xfId="58" applyNumberFormat="1" applyFont="1" applyFill="1">
      <alignment/>
      <protection/>
    </xf>
    <xf numFmtId="177" fontId="0" fillId="37" borderId="0" xfId="51" applyNumberFormat="1" applyFont="1" applyFill="1" applyBorder="1" applyAlignment="1">
      <alignment/>
    </xf>
    <xf numFmtId="176" fontId="0" fillId="37" borderId="0" xfId="0" applyFill="1" applyAlignment="1">
      <alignment/>
    </xf>
    <xf numFmtId="169" fontId="5" fillId="0" borderId="0" xfId="58" applyNumberFormat="1" applyFont="1">
      <alignment/>
      <protection/>
    </xf>
    <xf numFmtId="169" fontId="6" fillId="37" borderId="0" xfId="58" applyNumberFormat="1" applyFont="1" applyFill="1">
      <alignment/>
      <protection/>
    </xf>
    <xf numFmtId="169" fontId="6" fillId="35" borderId="0" xfId="58" applyNumberFormat="1" applyFont="1" applyFill="1">
      <alignment/>
      <protection/>
    </xf>
    <xf numFmtId="169" fontId="6" fillId="36" borderId="0" xfId="58" applyNumberFormat="1" applyFont="1" applyFill="1">
      <alignment/>
      <protection/>
    </xf>
    <xf numFmtId="169" fontId="6" fillId="38" borderId="0" xfId="58" applyNumberFormat="1" applyFont="1" applyFill="1">
      <alignment/>
      <protection/>
    </xf>
    <xf numFmtId="169" fontId="6" fillId="0" borderId="0" xfId="58" applyNumberFormat="1" applyFont="1" applyAlignment="1">
      <alignment horizontal="center"/>
      <protection/>
    </xf>
    <xf numFmtId="169" fontId="6" fillId="37" borderId="0" xfId="58" applyNumberFormat="1" applyFont="1" applyFill="1" applyAlignment="1">
      <alignment horizontal="center"/>
      <protection/>
    </xf>
    <xf numFmtId="169" fontId="6" fillId="35" borderId="0" xfId="58" applyNumberFormat="1" applyFont="1" applyFill="1" applyAlignment="1">
      <alignment horizontal="center"/>
      <protection/>
    </xf>
    <xf numFmtId="169" fontId="6" fillId="36" borderId="0" xfId="58" applyNumberFormat="1" applyFont="1" applyFill="1" applyAlignment="1">
      <alignment horizontal="center"/>
      <protection/>
    </xf>
    <xf numFmtId="169" fontId="6" fillId="38" borderId="0" xfId="58" applyNumberFormat="1" applyFont="1" applyFill="1" applyAlignment="1">
      <alignment horizontal="center"/>
      <protection/>
    </xf>
    <xf numFmtId="176" fontId="6" fillId="38" borderId="0" xfId="0" applyFont="1" applyFill="1" applyAlignment="1">
      <alignment/>
    </xf>
    <xf numFmtId="0" fontId="0" fillId="0" borderId="0" xfId="59" applyFont="1">
      <alignment/>
      <protection/>
    </xf>
    <xf numFmtId="176" fontId="0" fillId="38" borderId="0" xfId="0" applyFill="1" applyAlignment="1">
      <alignment/>
    </xf>
    <xf numFmtId="177" fontId="0" fillId="38" borderId="0" xfId="51" applyNumberFormat="1" applyFont="1" applyFill="1" applyAlignment="1">
      <alignment/>
    </xf>
    <xf numFmtId="177" fontId="0" fillId="38" borderId="0" xfId="51" applyNumberFormat="1" applyFont="1" applyFill="1" applyBorder="1" applyAlignment="1">
      <alignment/>
    </xf>
    <xf numFmtId="177" fontId="8" fillId="38" borderId="0" xfId="51" applyNumberFormat="1" applyFont="1" applyFill="1" applyAlignment="1">
      <alignment/>
    </xf>
    <xf numFmtId="177" fontId="0" fillId="0" borderId="0" xfId="59" applyNumberFormat="1" applyFont="1">
      <alignment/>
      <protection/>
    </xf>
    <xf numFmtId="177" fontId="6" fillId="35" borderId="0" xfId="51" applyNumberFormat="1" applyFont="1" applyFill="1" applyBorder="1" applyAlignment="1">
      <alignment/>
    </xf>
    <xf numFmtId="177" fontId="0" fillId="37" borderId="0" xfId="51" applyNumberFormat="1" applyFont="1" applyFill="1" applyAlignment="1">
      <alignment/>
    </xf>
    <xf numFmtId="169" fontId="6" fillId="0" borderId="0" xfId="58" applyNumberFormat="1" applyFont="1">
      <alignment/>
      <protection/>
    </xf>
    <xf numFmtId="9" fontId="0" fillId="0" borderId="0" xfId="66" applyFont="1" applyAlignment="1">
      <alignment/>
    </xf>
    <xf numFmtId="0" fontId="16" fillId="0" borderId="0" xfId="56" applyFont="1">
      <alignment/>
      <protection/>
    </xf>
    <xf numFmtId="0" fontId="0" fillId="0" borderId="0" xfId="56" applyFont="1" applyAlignment="1">
      <alignment wrapText="1"/>
      <protection/>
    </xf>
    <xf numFmtId="0" fontId="16" fillId="0" borderId="0" xfId="56" applyFont="1" applyAlignment="1">
      <alignment wrapText="1"/>
      <protection/>
    </xf>
    <xf numFmtId="0" fontId="16" fillId="0" borderId="0" xfId="56" applyFont="1" applyAlignment="1">
      <alignment wrapText="1"/>
      <protection/>
    </xf>
    <xf numFmtId="41" fontId="6" fillId="0" borderId="0" xfId="56" applyNumberFormat="1" applyFont="1" applyFill="1" applyProtection="1">
      <alignment/>
      <protection/>
    </xf>
    <xf numFmtId="41" fontId="0" fillId="0" borderId="0" xfId="56" applyNumberFormat="1" applyFont="1" applyFill="1" applyProtection="1">
      <alignment/>
      <protection/>
    </xf>
    <xf numFmtId="176" fontId="17" fillId="0" borderId="0" xfId="0" applyFont="1" applyAlignment="1">
      <alignment/>
    </xf>
    <xf numFmtId="178" fontId="18" fillId="33" borderId="0" xfId="66" applyNumberFormat="1" applyFont="1" applyFill="1" applyAlignment="1" applyProtection="1">
      <alignment/>
      <protection locked="0"/>
    </xf>
    <xf numFmtId="10" fontId="0" fillId="33" borderId="0" xfId="66" applyNumberFormat="1" applyFont="1" applyFill="1" applyAlignment="1" applyProtection="1">
      <alignment/>
      <protection locked="0"/>
    </xf>
  </cellXfs>
  <cellStyles count="6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" xfId="34"/>
    <cellStyle name="Beløb (negative)" xfId="35"/>
    <cellStyle name="Beløb 1000" xfId="36"/>
    <cellStyle name="Beløb 1000 (negative)" xfId="37"/>
    <cellStyle name="Bemærk!" xfId="38"/>
    <cellStyle name="Beregning" xfId="39"/>
    <cellStyle name="Decimal" xfId="40"/>
    <cellStyle name="Decimal (negative)" xfId="41"/>
    <cellStyle name="Farve1" xfId="42"/>
    <cellStyle name="Farve2" xfId="43"/>
    <cellStyle name="Farve3" xfId="44"/>
    <cellStyle name="Farve4" xfId="45"/>
    <cellStyle name="Farve5" xfId="46"/>
    <cellStyle name="Farve6" xfId="47"/>
    <cellStyle name="Forklarende tekst" xfId="48"/>
    <cellStyle name="God" xfId="49"/>
    <cellStyle name="Input" xfId="50"/>
    <cellStyle name="Comma" xfId="51"/>
    <cellStyle name="Comma [0]" xfId="52"/>
    <cellStyle name="Kontrollér celle" xfId="53"/>
    <cellStyle name="Hyperlink" xfId="54"/>
    <cellStyle name="Neutral" xfId="55"/>
    <cellStyle name="Normal 2" xfId="56"/>
    <cellStyle name="Normal 3" xfId="57"/>
    <cellStyle name="Normal 4" xfId="58"/>
    <cellStyle name="Normal_SHEET" xfId="59"/>
    <cellStyle name="Output" xfId="60"/>
    <cellStyle name="Overskrift" xfId="61"/>
    <cellStyle name="Overskrift 1" xfId="62"/>
    <cellStyle name="Overskrift 2" xfId="63"/>
    <cellStyle name="Overskrift 3" xfId="64"/>
    <cellStyle name="Overskrift 4" xfId="65"/>
    <cellStyle name="Percent" xfId="66"/>
    <cellStyle name="Sammenkædet celle" xfId="67"/>
    <cellStyle name="Titel" xfId="68"/>
    <cellStyle name="Total" xfId="69"/>
    <cellStyle name="Total (negative)" xfId="70"/>
    <cellStyle name="Total 1000" xfId="71"/>
    <cellStyle name="Total 1000 (negative)" xfId="72"/>
    <cellStyle name="Ugyldig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5">
      <selection activeCell="A1" sqref="A1"/>
    </sheetView>
  </sheetViews>
  <sheetFormatPr defaultColWidth="9.140625" defaultRowHeight="12.75"/>
  <cols>
    <col min="5" max="5" width="10.57421875" style="0" customWidth="1"/>
    <col min="6" max="6" width="0" style="0" hidden="1" customWidth="1"/>
    <col min="10" max="10" width="13.28125" style="0" customWidth="1"/>
  </cols>
  <sheetData>
    <row r="1" ht="12.75">
      <c r="A1" s="2" t="s">
        <v>63</v>
      </c>
    </row>
    <row r="3" ht="20.25">
      <c r="A3" s="17" t="s">
        <v>128</v>
      </c>
    </row>
    <row r="4" spans="1:7" ht="20.25">
      <c r="A4" s="17" t="s">
        <v>180</v>
      </c>
      <c r="B4" s="16"/>
      <c r="C4" s="16"/>
      <c r="D4" s="16"/>
      <c r="E4" s="16"/>
      <c r="F4" s="19"/>
      <c r="G4" s="16"/>
    </row>
    <row r="7" spans="1:8" ht="15.75">
      <c r="A7" s="63" t="s">
        <v>181</v>
      </c>
      <c r="B7" s="18"/>
      <c r="C7" s="18"/>
      <c r="D7" s="18"/>
      <c r="E7" s="18"/>
      <c r="F7" s="18"/>
      <c r="G7" s="57"/>
      <c r="H7" s="18"/>
    </row>
    <row r="8" spans="1:8" ht="15.75">
      <c r="A8" s="63" t="s">
        <v>182</v>
      </c>
      <c r="B8" s="18"/>
      <c r="C8" s="18"/>
      <c r="D8" s="18"/>
      <c r="E8" s="18"/>
      <c r="F8" s="18"/>
      <c r="G8" s="18"/>
      <c r="H8" s="18"/>
    </row>
    <row r="9" s="63" customFormat="1" ht="14.25"/>
    <row r="11" ht="14.25">
      <c r="A11" s="64" t="s">
        <v>58</v>
      </c>
    </row>
    <row r="12" ht="14.25">
      <c r="A12" s="64" t="s">
        <v>59</v>
      </c>
    </row>
    <row r="14" s="64" customFormat="1" ht="14.25">
      <c r="A14" s="64" t="s">
        <v>190</v>
      </c>
    </row>
    <row r="15" s="64" customFormat="1" ht="14.25">
      <c r="A15" s="64" t="s">
        <v>191</v>
      </c>
    </row>
    <row r="16" s="64" customFormat="1" ht="14.25">
      <c r="A16" s="64" t="s">
        <v>192</v>
      </c>
    </row>
    <row r="17" ht="14.25">
      <c r="A17" s="64"/>
    </row>
    <row r="18" ht="14.25">
      <c r="A18" s="64" t="s">
        <v>164</v>
      </c>
    </row>
    <row r="19" ht="14.25">
      <c r="A19" s="64" t="s">
        <v>183</v>
      </c>
    </row>
    <row r="20" ht="14.25">
      <c r="A20" s="64" t="s">
        <v>184</v>
      </c>
    </row>
    <row r="21" ht="14.25">
      <c r="A21" s="64" t="s">
        <v>129</v>
      </c>
    </row>
    <row r="22" ht="14.25">
      <c r="A22" s="64"/>
    </row>
    <row r="23" ht="14.25">
      <c r="A23" s="64" t="s">
        <v>130</v>
      </c>
    </row>
    <row r="24" ht="14.25">
      <c r="A24" s="64"/>
    </row>
    <row r="25" ht="14.25">
      <c r="A25" s="64" t="s">
        <v>165</v>
      </c>
    </row>
    <row r="26" ht="14.25">
      <c r="A26" s="64" t="s">
        <v>131</v>
      </c>
    </row>
    <row r="27" ht="14.25">
      <c r="A27" s="64" t="s">
        <v>132</v>
      </c>
    </row>
    <row r="28" ht="15">
      <c r="A28" s="64" t="s">
        <v>133</v>
      </c>
    </row>
    <row r="29" ht="14.25">
      <c r="A29" s="64" t="s">
        <v>134</v>
      </c>
    </row>
    <row r="30" ht="14.25">
      <c r="A30" s="64" t="s">
        <v>135</v>
      </c>
    </row>
    <row r="31" ht="14.25">
      <c r="A31" s="64" t="s">
        <v>136</v>
      </c>
    </row>
    <row r="32" ht="14.25">
      <c r="A32" s="64" t="s">
        <v>185</v>
      </c>
    </row>
    <row r="33" ht="14.25">
      <c r="A33" s="64" t="s">
        <v>200</v>
      </c>
    </row>
    <row r="34" ht="14.25">
      <c r="A34" s="64" t="s">
        <v>137</v>
      </c>
    </row>
    <row r="35" ht="14.25">
      <c r="A35" s="64"/>
    </row>
    <row r="36" s="64" customFormat="1" ht="14.25">
      <c r="A36" s="64" t="s">
        <v>193</v>
      </c>
    </row>
    <row r="37" s="64" customFormat="1" ht="14.25">
      <c r="A37" s="64" t="s">
        <v>194</v>
      </c>
    </row>
    <row r="38" s="64" customFormat="1" ht="14.25">
      <c r="A38" s="64" t="s">
        <v>195</v>
      </c>
    </row>
    <row r="39" ht="13.5">
      <c r="A39" s="115"/>
    </row>
    <row r="40" spans="1:4" ht="12.75">
      <c r="A40" s="66" t="s">
        <v>61</v>
      </c>
      <c r="D40" s="65"/>
    </row>
  </sheetData>
  <sheetProtection/>
  <hyperlinks>
    <hyperlink ref="A40" location="'Ark 2 - Indtast egne tal'!A1" display="Gå til næste side"/>
  </hyperlinks>
  <printOptions/>
  <pageMargins left="0.7480314960629921" right="0.7480314960629921" top="0.984251968503937" bottom="0.98425196850393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9.421875" style="16" customWidth="1"/>
    <col min="2" max="2" width="9.140625" style="16" customWidth="1"/>
    <col min="3" max="3" width="9.28125" style="16" bestFit="1" customWidth="1"/>
    <col min="4" max="4" width="9.140625" style="16" customWidth="1"/>
    <col min="5" max="5" width="11.28125" style="16" customWidth="1"/>
    <col min="6" max="6" width="15.00390625" style="19" bestFit="1" customWidth="1"/>
    <col min="7" max="7" width="11.421875" style="16" bestFit="1" customWidth="1"/>
    <col min="8" max="15" width="9.140625" style="16" hidden="1" customWidth="1"/>
    <col min="16" max="16" width="44.7109375" style="16" customWidth="1"/>
    <col min="17" max="16384" width="9.140625" style="16" customWidth="1"/>
  </cols>
  <sheetData>
    <row r="1" ht="12.75">
      <c r="A1" s="51" t="s">
        <v>64</v>
      </c>
    </row>
    <row r="3" ht="20.25">
      <c r="A3" s="17"/>
    </row>
    <row r="4" ht="12.75">
      <c r="A4" s="16" t="s">
        <v>196</v>
      </c>
    </row>
    <row r="5" ht="12.75">
      <c r="A5" s="16" t="s">
        <v>197</v>
      </c>
    </row>
    <row r="6" ht="12.75">
      <c r="A6" s="16" t="s">
        <v>163</v>
      </c>
    </row>
    <row r="7" ht="12.75">
      <c r="A7" s="16" t="s">
        <v>60</v>
      </c>
    </row>
    <row r="9" ht="20.25">
      <c r="A9" s="17" t="s">
        <v>3</v>
      </c>
    </row>
    <row r="10" ht="12.75">
      <c r="A10" s="16" t="s">
        <v>126</v>
      </c>
    </row>
    <row r="11" spans="1:7" ht="12.75">
      <c r="A11" s="47"/>
      <c r="B11" s="47"/>
      <c r="C11" s="47"/>
      <c r="D11" s="47"/>
      <c r="E11" s="47"/>
      <c r="F11" s="49"/>
      <c r="G11" s="47"/>
    </row>
    <row r="12" spans="1:7" ht="12.75" hidden="1">
      <c r="A12" s="47" t="s">
        <v>5</v>
      </c>
      <c r="B12" s="47"/>
      <c r="C12" s="47"/>
      <c r="D12" s="47"/>
      <c r="E12" s="47"/>
      <c r="F12" s="50">
        <v>2</v>
      </c>
      <c r="G12" s="47"/>
    </row>
    <row r="13" spans="1:7" ht="12.75" hidden="1">
      <c r="A13" s="47"/>
      <c r="B13" s="47"/>
      <c r="C13" s="47"/>
      <c r="D13" s="47"/>
      <c r="E13" s="47"/>
      <c r="F13" s="49"/>
      <c r="G13" s="47"/>
    </row>
    <row r="14" spans="1:7" ht="12.75" hidden="1">
      <c r="A14" s="47" t="s">
        <v>6</v>
      </c>
      <c r="B14" s="47"/>
      <c r="C14" s="47"/>
      <c r="D14" s="47"/>
      <c r="E14" s="47"/>
      <c r="F14" s="50">
        <v>32</v>
      </c>
      <c r="G14" s="47" t="s">
        <v>10</v>
      </c>
    </row>
    <row r="15" spans="1:7" ht="12.75" hidden="1">
      <c r="A15" s="47" t="s">
        <v>17</v>
      </c>
      <c r="B15" s="47"/>
      <c r="C15" s="47"/>
      <c r="D15" s="47"/>
      <c r="E15" s="47"/>
      <c r="F15" s="50">
        <v>45</v>
      </c>
      <c r="G15" s="47" t="s">
        <v>18</v>
      </c>
    </row>
    <row r="16" spans="1:7" ht="12.75" hidden="1">
      <c r="A16" s="47"/>
      <c r="B16" s="47"/>
      <c r="C16" s="47"/>
      <c r="D16" s="47"/>
      <c r="E16" s="47"/>
      <c r="F16" s="49"/>
      <c r="G16" s="47"/>
    </row>
    <row r="17" spans="1:16" ht="15">
      <c r="A17" s="57" t="s">
        <v>166</v>
      </c>
      <c r="B17" s="52"/>
      <c r="C17" s="52"/>
      <c r="D17" s="52"/>
      <c r="E17" s="52"/>
      <c r="F17" s="53"/>
      <c r="G17" s="52"/>
      <c r="P17" s="51" t="s">
        <v>153</v>
      </c>
    </row>
    <row r="19" spans="1:16" ht="12.75">
      <c r="A19" s="16" t="s">
        <v>138</v>
      </c>
      <c r="F19" s="41">
        <v>7788231</v>
      </c>
      <c r="G19" s="16" t="s">
        <v>4</v>
      </c>
      <c r="P19" s="110" t="s">
        <v>154</v>
      </c>
    </row>
    <row r="20" spans="1:16" ht="12.75" customHeight="1" hidden="1">
      <c r="A20" s="16" t="s">
        <v>54</v>
      </c>
      <c r="F20" s="41">
        <v>1300000</v>
      </c>
      <c r="G20" s="16" t="s">
        <v>4</v>
      </c>
      <c r="P20" s="110"/>
    </row>
    <row r="21" spans="1:16" ht="12.75" customHeight="1" hidden="1">
      <c r="A21" s="16" t="s">
        <v>37</v>
      </c>
      <c r="F21" s="41">
        <v>1000000</v>
      </c>
      <c r="G21" s="16" t="s">
        <v>4</v>
      </c>
      <c r="H21" s="48"/>
      <c r="P21" s="110"/>
    </row>
    <row r="22" spans="2:16" ht="12.75" customHeight="1" hidden="1">
      <c r="B22" s="16" t="s">
        <v>38</v>
      </c>
      <c r="F22" s="20"/>
      <c r="P22" s="110"/>
    </row>
    <row r="23" spans="2:16" ht="12.75" customHeight="1" hidden="1">
      <c r="B23" s="16" t="s">
        <v>39</v>
      </c>
      <c r="F23" s="20"/>
      <c r="P23" s="110"/>
    </row>
    <row r="24" spans="1:16" ht="12.75" customHeight="1" hidden="1">
      <c r="A24" s="16" t="s">
        <v>42</v>
      </c>
      <c r="F24" s="41">
        <v>150000</v>
      </c>
      <c r="G24" s="16" t="s">
        <v>4</v>
      </c>
      <c r="P24" s="110"/>
    </row>
    <row r="25" spans="1:16" ht="12.75" customHeight="1" hidden="1">
      <c r="A25" s="51" t="s">
        <v>55</v>
      </c>
      <c r="B25" s="51"/>
      <c r="C25" s="51"/>
      <c r="D25" s="51"/>
      <c r="E25" s="51"/>
      <c r="F25" s="67">
        <f>SUM(F19:F24)</f>
        <v>10238231</v>
      </c>
      <c r="G25" s="51" t="s">
        <v>4</v>
      </c>
      <c r="H25" s="48"/>
      <c r="P25" s="110"/>
    </row>
    <row r="26" ht="12.75">
      <c r="P26" s="110"/>
    </row>
    <row r="27" spans="1:16" ht="12.75">
      <c r="A27" s="16" t="s">
        <v>7</v>
      </c>
      <c r="F27" s="41">
        <v>395698</v>
      </c>
      <c r="G27" s="16" t="s">
        <v>4</v>
      </c>
      <c r="P27" s="110" t="s">
        <v>154</v>
      </c>
    </row>
    <row r="28" ht="12.75">
      <c r="P28" s="110"/>
    </row>
    <row r="29" spans="1:16" ht="12.75">
      <c r="A29" s="16" t="s">
        <v>98</v>
      </c>
      <c r="F29" s="41">
        <v>1727858</v>
      </c>
      <c r="G29" s="16" t="s">
        <v>4</v>
      </c>
      <c r="P29" s="110" t="s">
        <v>154</v>
      </c>
    </row>
    <row r="30" spans="1:16" ht="12.75">
      <c r="A30" s="16" t="s">
        <v>99</v>
      </c>
      <c r="F30" s="41">
        <v>177967</v>
      </c>
      <c r="G30" s="16" t="s">
        <v>4</v>
      </c>
      <c r="P30" s="110" t="s">
        <v>154</v>
      </c>
    </row>
    <row r="31" spans="1:16" ht="12.75">
      <c r="A31" s="16" t="s">
        <v>45</v>
      </c>
      <c r="F31" s="61">
        <f>22336+11431+57102+57802-64817</f>
        <v>83854</v>
      </c>
      <c r="G31" s="16" t="s">
        <v>4</v>
      </c>
      <c r="P31" s="110" t="s">
        <v>154</v>
      </c>
    </row>
    <row r="32" spans="1:16" ht="25.5">
      <c r="A32" s="16" t="s">
        <v>201</v>
      </c>
      <c r="F32" s="61">
        <v>0</v>
      </c>
      <c r="P32" s="110" t="s">
        <v>203</v>
      </c>
    </row>
    <row r="33" spans="1:16" ht="12.75">
      <c r="A33" s="16" t="s">
        <v>202</v>
      </c>
      <c r="F33" s="117">
        <v>0.0412</v>
      </c>
      <c r="P33" s="110" t="s">
        <v>204</v>
      </c>
    </row>
    <row r="34" spans="1:16" ht="12.75">
      <c r="A34" s="51" t="s">
        <v>46</v>
      </c>
      <c r="B34" s="51"/>
      <c r="C34" s="51"/>
      <c r="D34" s="51"/>
      <c r="E34" s="51"/>
      <c r="F34" s="58">
        <f>SUM(F29:F31)</f>
        <v>1989679</v>
      </c>
      <c r="G34" s="51" t="s">
        <v>4</v>
      </c>
      <c r="H34" s="48"/>
      <c r="P34" s="111" t="s">
        <v>175</v>
      </c>
    </row>
    <row r="35" spans="1:16" ht="12.75">
      <c r="A35" s="48"/>
      <c r="P35" s="110"/>
    </row>
    <row r="36" spans="1:16" ht="12.75">
      <c r="A36" s="16" t="s">
        <v>8</v>
      </c>
      <c r="F36" s="41">
        <v>0</v>
      </c>
      <c r="G36" s="16" t="s">
        <v>4</v>
      </c>
      <c r="P36" s="110" t="s">
        <v>167</v>
      </c>
    </row>
    <row r="37" spans="1:16" ht="25.5">
      <c r="A37" s="51" t="s">
        <v>100</v>
      </c>
      <c r="F37" s="41"/>
      <c r="P37" s="110" t="s">
        <v>168</v>
      </c>
    </row>
    <row r="38" spans="1:16" ht="12.75">
      <c r="A38" s="16" t="s">
        <v>101</v>
      </c>
      <c r="F38" s="41">
        <v>67688</v>
      </c>
      <c r="G38" s="16" t="s">
        <v>4</v>
      </c>
      <c r="P38" s="110" t="s">
        <v>154</v>
      </c>
    </row>
    <row r="39" spans="1:16" ht="12.75">
      <c r="A39" s="16" t="s">
        <v>102</v>
      </c>
      <c r="F39" s="41">
        <v>151401</v>
      </c>
      <c r="G39" s="16" t="s">
        <v>4</v>
      </c>
      <c r="P39" s="110" t="s">
        <v>154</v>
      </c>
    </row>
    <row r="40" spans="1:16" ht="12.75">
      <c r="A40" s="16" t="s">
        <v>103</v>
      </c>
      <c r="F40" s="41">
        <f>19817-F48</f>
        <v>14817</v>
      </c>
      <c r="G40" s="16" t="s">
        <v>4</v>
      </c>
      <c r="P40" s="110" t="s">
        <v>205</v>
      </c>
    </row>
    <row r="41" spans="1:16" ht="12.75">
      <c r="A41" s="16" t="s">
        <v>120</v>
      </c>
      <c r="F41" s="41">
        <v>0</v>
      </c>
      <c r="G41" s="16" t="s">
        <v>4</v>
      </c>
      <c r="P41" s="110" t="s">
        <v>154</v>
      </c>
    </row>
    <row r="42" spans="6:16" ht="12.75">
      <c r="F42" s="71"/>
      <c r="P42" s="110"/>
    </row>
    <row r="43" spans="1:16" ht="12.75">
      <c r="A43" s="51" t="s">
        <v>139</v>
      </c>
      <c r="B43" s="51"/>
      <c r="C43" s="51"/>
      <c r="D43" s="51"/>
      <c r="E43" s="51"/>
      <c r="F43" s="113">
        <f>SUM(F36:F41)</f>
        <v>233906</v>
      </c>
      <c r="P43" s="111" t="s">
        <v>175</v>
      </c>
    </row>
    <row r="44" spans="6:16" ht="12.75">
      <c r="F44" s="71"/>
      <c r="P44" s="110"/>
    </row>
    <row r="45" spans="1:16" ht="12.75">
      <c r="A45" s="16" t="s">
        <v>104</v>
      </c>
      <c r="F45" s="41">
        <f>19734-F47</f>
        <v>11734</v>
      </c>
      <c r="G45" s="16" t="s">
        <v>4</v>
      </c>
      <c r="P45" s="110" t="s">
        <v>154</v>
      </c>
    </row>
    <row r="46" spans="1:16" ht="12.75">
      <c r="A46" s="16" t="s">
        <v>105</v>
      </c>
      <c r="F46" s="41">
        <v>0</v>
      </c>
      <c r="G46" s="16" t="s">
        <v>4</v>
      </c>
      <c r="P46" s="110" t="s">
        <v>154</v>
      </c>
    </row>
    <row r="47" spans="1:16" ht="12.75">
      <c r="A47" s="16" t="s">
        <v>106</v>
      </c>
      <c r="F47" s="41">
        <v>8000</v>
      </c>
      <c r="G47" s="16" t="s">
        <v>4</v>
      </c>
      <c r="P47" s="110" t="s">
        <v>154</v>
      </c>
    </row>
    <row r="48" spans="1:16" ht="12.75">
      <c r="A48" s="16" t="s">
        <v>107</v>
      </c>
      <c r="F48" s="41">
        <v>5000</v>
      </c>
      <c r="G48" s="16" t="s">
        <v>4</v>
      </c>
      <c r="P48" s="110" t="s">
        <v>206</v>
      </c>
    </row>
    <row r="49" spans="6:16" ht="12.75">
      <c r="F49" s="71"/>
      <c r="P49" s="110"/>
    </row>
    <row r="50" spans="1:16" ht="12.75">
      <c r="A50" s="51" t="s">
        <v>155</v>
      </c>
      <c r="F50" s="113">
        <f>SUM(F45:F49)</f>
        <v>24734</v>
      </c>
      <c r="P50" s="112" t="s">
        <v>176</v>
      </c>
    </row>
    <row r="51" spans="6:16" ht="12.75">
      <c r="F51" s="71"/>
      <c r="P51" s="110"/>
    </row>
    <row r="52" spans="1:16" ht="12.75">
      <c r="A52" s="51" t="s">
        <v>47</v>
      </c>
      <c r="B52" s="51"/>
      <c r="C52" s="51"/>
      <c r="D52" s="51"/>
      <c r="E52" s="51"/>
      <c r="F52" s="58">
        <f>SUM(F36:F48)</f>
        <v>492546</v>
      </c>
      <c r="G52" s="51" t="s">
        <v>4</v>
      </c>
      <c r="P52" s="110" t="s">
        <v>156</v>
      </c>
    </row>
    <row r="53" spans="1:16" ht="12.75">
      <c r="A53" s="51"/>
      <c r="B53" s="51"/>
      <c r="C53" s="51"/>
      <c r="D53" s="51"/>
      <c r="E53" s="51"/>
      <c r="F53" s="58"/>
      <c r="G53" s="51"/>
      <c r="P53" s="110"/>
    </row>
    <row r="54" spans="1:20" ht="38.25">
      <c r="A54" s="51" t="s">
        <v>124</v>
      </c>
      <c r="B54" s="51"/>
      <c r="C54" s="51"/>
      <c r="D54" s="51"/>
      <c r="E54" s="51"/>
      <c r="F54" s="59">
        <v>326803</v>
      </c>
      <c r="G54" s="51" t="s">
        <v>4</v>
      </c>
      <c r="P54" s="110" t="s">
        <v>177</v>
      </c>
      <c r="T54" s="109"/>
    </row>
    <row r="55" spans="1:16" ht="12.75">
      <c r="A55" s="48"/>
      <c r="P55" s="112"/>
    </row>
    <row r="56" spans="1:16" ht="12.75">
      <c r="A56" s="16" t="s">
        <v>9</v>
      </c>
      <c r="F56" s="21"/>
      <c r="P56" s="110"/>
    </row>
    <row r="57" spans="1:16" ht="12.75">
      <c r="A57" s="16" t="s">
        <v>56</v>
      </c>
      <c r="F57" s="59">
        <f>262505+11651+11307+174576</f>
        <v>460039</v>
      </c>
      <c r="G57" s="51" t="s">
        <v>4</v>
      </c>
      <c r="P57" s="110" t="s">
        <v>154</v>
      </c>
    </row>
    <row r="58" ht="12.75">
      <c r="P58" s="110"/>
    </row>
    <row r="59" spans="1:16" ht="15.75" hidden="1">
      <c r="A59" s="18" t="s">
        <v>26</v>
      </c>
      <c r="P59" s="110"/>
    </row>
    <row r="60" ht="12.75" hidden="1">
      <c r="P60" s="110"/>
    </row>
    <row r="61" spans="1:16" ht="12.75" hidden="1">
      <c r="A61" s="16" t="s">
        <v>27</v>
      </c>
      <c r="F61" s="20">
        <v>500000</v>
      </c>
      <c r="G61" s="16" t="s">
        <v>4</v>
      </c>
      <c r="P61" s="110"/>
    </row>
    <row r="62" ht="12.75" hidden="1">
      <c r="P62" s="110"/>
    </row>
    <row r="63" spans="1:16" ht="12.75" hidden="1">
      <c r="A63" s="16" t="s">
        <v>28</v>
      </c>
      <c r="P63" s="110"/>
    </row>
    <row r="64" spans="1:16" ht="12.75" hidden="1">
      <c r="A64" s="16" t="s">
        <v>29</v>
      </c>
      <c r="F64" s="20">
        <v>15000</v>
      </c>
      <c r="G64" s="16" t="s">
        <v>4</v>
      </c>
      <c r="P64" s="110"/>
    </row>
    <row r="65" spans="1:16" ht="12.75" hidden="1">
      <c r="A65" s="16" t="s">
        <v>30</v>
      </c>
      <c r="F65" s="20">
        <v>50000</v>
      </c>
      <c r="G65" s="16" t="s">
        <v>4</v>
      </c>
      <c r="P65" s="110"/>
    </row>
    <row r="66" spans="1:16" ht="12.75" hidden="1">
      <c r="A66" s="16" t="s">
        <v>31</v>
      </c>
      <c r="F66" s="20">
        <v>10000</v>
      </c>
      <c r="G66" s="16" t="s">
        <v>4</v>
      </c>
      <c r="P66" s="110"/>
    </row>
    <row r="67" spans="1:16" ht="12.75" hidden="1">
      <c r="A67" s="16" t="s">
        <v>32</v>
      </c>
      <c r="F67" s="20">
        <v>25000</v>
      </c>
      <c r="G67" s="16" t="s">
        <v>4</v>
      </c>
      <c r="P67" s="110"/>
    </row>
    <row r="68" ht="12.75" hidden="1">
      <c r="P68" s="110"/>
    </row>
    <row r="69" spans="1:16" ht="12.75" hidden="1">
      <c r="A69" s="16" t="s">
        <v>33</v>
      </c>
      <c r="F69" s="20">
        <v>100000</v>
      </c>
      <c r="G69" s="16" t="s">
        <v>4</v>
      </c>
      <c r="P69" s="110"/>
    </row>
    <row r="70" ht="12.75" hidden="1">
      <c r="P70" s="110"/>
    </row>
    <row r="71" ht="12.75">
      <c r="P71" s="110"/>
    </row>
    <row r="72" spans="1:16" ht="12.75">
      <c r="A72" s="16" t="s">
        <v>121</v>
      </c>
      <c r="F72" s="59">
        <v>-1162</v>
      </c>
      <c r="G72" s="51" t="s">
        <v>4</v>
      </c>
      <c r="P72" s="110" t="s">
        <v>154</v>
      </c>
    </row>
    <row r="73" spans="1:16" ht="12.75">
      <c r="A73" s="16" t="s">
        <v>122</v>
      </c>
      <c r="P73" s="110"/>
    </row>
    <row r="74" ht="12.75">
      <c r="P74" s="110"/>
    </row>
    <row r="75" spans="1:20" ht="25.5">
      <c r="A75" s="16" t="s">
        <v>123</v>
      </c>
      <c r="F75" s="59">
        <f>174474+193557+88153+8148+108339-200000</f>
        <v>372671</v>
      </c>
      <c r="P75" s="110" t="s">
        <v>178</v>
      </c>
      <c r="T75" s="109"/>
    </row>
    <row r="76" ht="12.75">
      <c r="P76" s="112"/>
    </row>
    <row r="77" spans="1:16" ht="15">
      <c r="A77" s="57" t="s">
        <v>68</v>
      </c>
      <c r="B77" s="52"/>
      <c r="C77" s="52"/>
      <c r="D77" s="52"/>
      <c r="E77" s="52"/>
      <c r="F77" s="53"/>
      <c r="P77" s="110"/>
    </row>
    <row r="78" spans="1:16" ht="15">
      <c r="A78" s="57"/>
      <c r="B78" s="52"/>
      <c r="C78" s="52"/>
      <c r="D78" s="52"/>
      <c r="E78" s="52"/>
      <c r="F78" s="58"/>
      <c r="G78" s="51" t="s">
        <v>71</v>
      </c>
      <c r="I78" s="16" t="s">
        <v>80</v>
      </c>
      <c r="J78" s="16" t="s">
        <v>82</v>
      </c>
      <c r="K78" s="16" t="s">
        <v>84</v>
      </c>
      <c r="L78" s="16" t="s">
        <v>86</v>
      </c>
      <c r="M78" s="16">
        <v>1000</v>
      </c>
      <c r="P78" s="110"/>
    </row>
    <row r="79" spans="2:16" ht="12.75">
      <c r="B79" s="52"/>
      <c r="C79" s="52"/>
      <c r="D79" s="52"/>
      <c r="E79" s="52"/>
      <c r="F79" s="58" t="s">
        <v>69</v>
      </c>
      <c r="G79" s="51" t="s">
        <v>72</v>
      </c>
      <c r="I79" s="16" t="s">
        <v>81</v>
      </c>
      <c r="J79" s="16" t="s">
        <v>83</v>
      </c>
      <c r="K79" s="68">
        <f>(1-J91)</f>
        <v>0.6</v>
      </c>
      <c r="L79" s="68" t="s">
        <v>87</v>
      </c>
      <c r="P79" s="110"/>
    </row>
    <row r="80" spans="2:16" ht="12.75">
      <c r="B80" s="52"/>
      <c r="C80" s="52"/>
      <c r="D80" s="52"/>
      <c r="E80" s="52"/>
      <c r="F80" s="53"/>
      <c r="P80" s="110"/>
    </row>
    <row r="81" spans="1:16" ht="12.75">
      <c r="A81" s="47" t="s">
        <v>70</v>
      </c>
      <c r="B81" s="52"/>
      <c r="C81" s="52"/>
      <c r="D81" s="52"/>
      <c r="E81" s="52"/>
      <c r="F81" s="72">
        <v>0.3</v>
      </c>
      <c r="G81" s="72">
        <v>0.25</v>
      </c>
      <c r="I81" s="16">
        <f aca="true" t="shared" si="0" ref="I81:I87">IF(G81&gt;0,F81,1)</f>
        <v>0.3</v>
      </c>
      <c r="J81" s="68">
        <f aca="true" t="shared" si="1" ref="J81:J87">IF(G81&gt;0,1,0)</f>
        <v>1</v>
      </c>
      <c r="K81" s="16">
        <f aca="true" t="shared" si="2" ref="K81:K87">IF(I81&lt;1,$M$78*$K$79/$J$89,0)</f>
        <v>150</v>
      </c>
      <c r="L81" s="16">
        <f aca="true" t="shared" si="3" ref="L81:L87">IF(J81=1,IF(I81&gt;$J$93,I81-$J$93,0),0)</f>
        <v>0.05000000000000002</v>
      </c>
      <c r="M81" s="16">
        <f aca="true" t="shared" si="4" ref="M81:M87">L81/$L$89*$K$79</f>
        <v>0.19999999999999998</v>
      </c>
      <c r="N81" s="16">
        <f aca="true" t="shared" si="5" ref="N81:N87">IF(I81&lt;1,$M$78*(1-$K$79)/$J$89,0)</f>
        <v>100</v>
      </c>
      <c r="P81" s="110"/>
    </row>
    <row r="82" spans="1:16" ht="12.75">
      <c r="A82" s="47" t="s">
        <v>73</v>
      </c>
      <c r="B82" s="52"/>
      <c r="C82" s="52"/>
      <c r="D82" s="52"/>
      <c r="E82" s="52"/>
      <c r="F82" s="72">
        <v>0.3</v>
      </c>
      <c r="G82" s="72">
        <v>0.25</v>
      </c>
      <c r="I82" s="16">
        <f t="shared" si="0"/>
        <v>0.3</v>
      </c>
      <c r="J82" s="68">
        <f t="shared" si="1"/>
        <v>1</v>
      </c>
      <c r="K82" s="16">
        <f t="shared" si="2"/>
        <v>150</v>
      </c>
      <c r="L82" s="16">
        <f t="shared" si="3"/>
        <v>0.05000000000000002</v>
      </c>
      <c r="M82" s="16">
        <f t="shared" si="4"/>
        <v>0.19999999999999998</v>
      </c>
      <c r="N82" s="16">
        <f t="shared" si="5"/>
        <v>100</v>
      </c>
      <c r="P82" s="110"/>
    </row>
    <row r="83" spans="1:16" ht="12.75">
      <c r="A83" s="47" t="s">
        <v>74</v>
      </c>
      <c r="B83" s="52"/>
      <c r="C83" s="52"/>
      <c r="D83" s="52"/>
      <c r="E83" s="52"/>
      <c r="F83" s="72">
        <v>0.3</v>
      </c>
      <c r="G83" s="72">
        <v>0.25</v>
      </c>
      <c r="I83" s="16">
        <f t="shared" si="0"/>
        <v>0.3</v>
      </c>
      <c r="J83" s="68">
        <f t="shared" si="1"/>
        <v>1</v>
      </c>
      <c r="K83" s="16">
        <f t="shared" si="2"/>
        <v>150</v>
      </c>
      <c r="L83" s="16">
        <f t="shared" si="3"/>
        <v>0.05000000000000002</v>
      </c>
      <c r="M83" s="16">
        <f t="shared" si="4"/>
        <v>0.19999999999999998</v>
      </c>
      <c r="N83" s="16">
        <f t="shared" si="5"/>
        <v>100</v>
      </c>
      <c r="P83" s="110"/>
    </row>
    <row r="84" spans="1:16" ht="12.75">
      <c r="A84" s="47" t="s">
        <v>75</v>
      </c>
      <c r="B84" s="52"/>
      <c r="C84" s="52"/>
      <c r="D84" s="52"/>
      <c r="E84" s="52"/>
      <c r="F84" s="72">
        <v>0.1</v>
      </c>
      <c r="G84" s="72">
        <v>0.25</v>
      </c>
      <c r="I84" s="16">
        <f t="shared" si="0"/>
        <v>0.1</v>
      </c>
      <c r="J84" s="68">
        <f t="shared" si="1"/>
        <v>1</v>
      </c>
      <c r="K84" s="16">
        <f t="shared" si="2"/>
        <v>150</v>
      </c>
      <c r="L84" s="16">
        <f t="shared" si="3"/>
        <v>0</v>
      </c>
      <c r="M84" s="16">
        <f t="shared" si="4"/>
        <v>0</v>
      </c>
      <c r="N84" s="16">
        <f t="shared" si="5"/>
        <v>100</v>
      </c>
      <c r="P84" s="110"/>
    </row>
    <row r="85" spans="1:16" ht="12.75">
      <c r="A85" s="47" t="s">
        <v>76</v>
      </c>
      <c r="B85" s="52"/>
      <c r="C85" s="52"/>
      <c r="D85" s="52"/>
      <c r="E85" s="52"/>
      <c r="F85" s="72">
        <v>0</v>
      </c>
      <c r="G85" s="72">
        <v>0</v>
      </c>
      <c r="I85" s="16">
        <f t="shared" si="0"/>
        <v>1</v>
      </c>
      <c r="J85" s="68">
        <f t="shared" si="1"/>
        <v>0</v>
      </c>
      <c r="K85" s="16">
        <f t="shared" si="2"/>
        <v>0</v>
      </c>
      <c r="L85" s="16">
        <f t="shared" si="3"/>
        <v>0</v>
      </c>
      <c r="M85" s="16">
        <f t="shared" si="4"/>
        <v>0</v>
      </c>
      <c r="N85" s="16">
        <f t="shared" si="5"/>
        <v>0</v>
      </c>
      <c r="P85" s="110"/>
    </row>
    <row r="86" spans="1:16" ht="12.75">
      <c r="A86" s="47" t="s">
        <v>77</v>
      </c>
      <c r="B86" s="52"/>
      <c r="C86" s="52"/>
      <c r="D86" s="52"/>
      <c r="E86" s="52"/>
      <c r="F86" s="72">
        <v>0</v>
      </c>
      <c r="G86" s="72">
        <v>0</v>
      </c>
      <c r="I86" s="16">
        <f t="shared" si="0"/>
        <v>1</v>
      </c>
      <c r="J86" s="68">
        <f t="shared" si="1"/>
        <v>0</v>
      </c>
      <c r="K86" s="16">
        <f t="shared" si="2"/>
        <v>0</v>
      </c>
      <c r="L86" s="16">
        <f t="shared" si="3"/>
        <v>0</v>
      </c>
      <c r="M86" s="16">
        <f t="shared" si="4"/>
        <v>0</v>
      </c>
      <c r="N86" s="16">
        <f t="shared" si="5"/>
        <v>0</v>
      </c>
      <c r="P86" s="110"/>
    </row>
    <row r="87" spans="1:16" ht="12.75">
      <c r="A87" s="47" t="s">
        <v>113</v>
      </c>
      <c r="B87" s="52"/>
      <c r="C87" s="52"/>
      <c r="D87" s="52"/>
      <c r="E87" s="52"/>
      <c r="F87" s="72">
        <v>0</v>
      </c>
      <c r="G87" s="72">
        <v>0</v>
      </c>
      <c r="I87" s="16">
        <f t="shared" si="0"/>
        <v>1</v>
      </c>
      <c r="J87" s="68">
        <f t="shared" si="1"/>
        <v>0</v>
      </c>
      <c r="K87" s="16">
        <f t="shared" si="2"/>
        <v>0</v>
      </c>
      <c r="L87" s="16">
        <f t="shared" si="3"/>
        <v>0</v>
      </c>
      <c r="M87" s="16">
        <f t="shared" si="4"/>
        <v>0</v>
      </c>
      <c r="N87" s="16">
        <f t="shared" si="5"/>
        <v>0</v>
      </c>
      <c r="P87" s="110"/>
    </row>
    <row r="88" spans="1:16" ht="12.75">
      <c r="A88" s="47"/>
      <c r="F88" s="68"/>
      <c r="G88" s="68"/>
      <c r="P88" s="110"/>
    </row>
    <row r="89" spans="1:16" ht="12.75">
      <c r="A89" s="47" t="s">
        <v>78</v>
      </c>
      <c r="F89" s="69">
        <f>SUM(F81:F88)</f>
        <v>0.9999999999999999</v>
      </c>
      <c r="G89" s="69">
        <f>SUM(G81:G88)</f>
        <v>1</v>
      </c>
      <c r="I89" s="16">
        <f>SUM(I81:I88)</f>
        <v>4</v>
      </c>
      <c r="J89" s="68">
        <f>SUM(J81:J88)</f>
        <v>4</v>
      </c>
      <c r="L89" s="16">
        <f>SUM(L81:L88)</f>
        <v>0.15000000000000005</v>
      </c>
      <c r="P89" s="110"/>
    </row>
    <row r="90" spans="1:16" ht="12.75">
      <c r="A90" s="47"/>
      <c r="P90" s="110"/>
    </row>
    <row r="91" spans="1:16" ht="12.75">
      <c r="A91" s="16" t="s">
        <v>43</v>
      </c>
      <c r="F91" s="41">
        <v>7800000</v>
      </c>
      <c r="G91" s="16" t="s">
        <v>4</v>
      </c>
      <c r="I91" s="68">
        <f>MIN(I81:I85)</f>
        <v>0.1</v>
      </c>
      <c r="J91" s="68">
        <f>I91*J89</f>
        <v>0.4</v>
      </c>
      <c r="P91" s="110"/>
    </row>
    <row r="92" spans="1:16" ht="25.5">
      <c r="A92" s="16" t="s">
        <v>142</v>
      </c>
      <c r="F92" s="116">
        <v>0.15</v>
      </c>
      <c r="P92" s="112" t="s">
        <v>189</v>
      </c>
    </row>
    <row r="93" spans="6:16" ht="12.75">
      <c r="F93" s="71"/>
      <c r="I93" s="16" t="s">
        <v>85</v>
      </c>
      <c r="J93" s="68">
        <f>F89/J89</f>
        <v>0.24999999999999997</v>
      </c>
      <c r="P93" s="112"/>
    </row>
    <row r="94" spans="1:16" ht="25.5">
      <c r="A94" s="16" t="s">
        <v>88</v>
      </c>
      <c r="F94" s="41">
        <f>189065</f>
        <v>189065</v>
      </c>
      <c r="G94" s="16" t="s">
        <v>4</v>
      </c>
      <c r="P94" s="110" t="s">
        <v>179</v>
      </c>
    </row>
    <row r="95" spans="6:16" ht="12.75">
      <c r="F95" s="71"/>
      <c r="P95" s="110"/>
    </row>
    <row r="96" spans="1:16" ht="12.75">
      <c r="A96" s="16" t="s">
        <v>89</v>
      </c>
      <c r="F96" s="114">
        <f>F99*F100</f>
        <v>603000</v>
      </c>
      <c r="G96" s="16" t="s">
        <v>4</v>
      </c>
      <c r="P96" s="110" t="s">
        <v>207</v>
      </c>
    </row>
    <row r="97" spans="6:16" ht="12.75">
      <c r="F97" s="71"/>
      <c r="P97" s="110"/>
    </row>
    <row r="98" spans="1:16" ht="12.75">
      <c r="A98" s="51" t="s">
        <v>157</v>
      </c>
      <c r="F98" s="71"/>
      <c r="P98" s="110"/>
    </row>
    <row r="99" spans="1:16" ht="25.5">
      <c r="A99" s="47" t="s">
        <v>158</v>
      </c>
      <c r="F99" s="41">
        <v>6700000</v>
      </c>
      <c r="G99" s="16" t="s">
        <v>4</v>
      </c>
      <c r="P99" s="110" t="s">
        <v>198</v>
      </c>
    </row>
    <row r="100" spans="1:16" ht="25.5">
      <c r="A100" s="16" t="s">
        <v>159</v>
      </c>
      <c r="F100" s="70">
        <v>0.09</v>
      </c>
      <c r="P100" s="110" t="s">
        <v>199</v>
      </c>
    </row>
    <row r="101" spans="1:6" ht="12.75">
      <c r="A101" s="51"/>
      <c r="F101" s="71"/>
    </row>
    <row r="102" spans="1:6" ht="12.75" hidden="1">
      <c r="A102" s="51"/>
      <c r="F102" s="71"/>
    </row>
    <row r="103" spans="1:6" ht="12.75" hidden="1">
      <c r="A103" s="51"/>
      <c r="F103" s="71"/>
    </row>
    <row r="104" spans="1:6" ht="12.75" hidden="1">
      <c r="A104" s="51"/>
      <c r="F104" s="71"/>
    </row>
    <row r="105" spans="1:6" ht="12.75" hidden="1">
      <c r="A105" s="51"/>
      <c r="F105" s="71"/>
    </row>
    <row r="106" spans="1:6" ht="12.75" hidden="1">
      <c r="A106" s="51"/>
      <c r="F106" s="71"/>
    </row>
    <row r="107" spans="1:6" ht="12.75" hidden="1">
      <c r="A107" s="51"/>
      <c r="F107" s="71"/>
    </row>
    <row r="108" spans="1:6" ht="12.75" hidden="1">
      <c r="A108" s="51"/>
      <c r="F108" s="71"/>
    </row>
    <row r="109" spans="1:6" ht="12.75" hidden="1">
      <c r="A109" s="51"/>
      <c r="F109" s="71"/>
    </row>
    <row r="110" ht="12.75" hidden="1">
      <c r="A110" s="16" t="s">
        <v>90</v>
      </c>
    </row>
    <row r="111" ht="12.75" hidden="1"/>
    <row r="112" spans="1:7" ht="12.75" hidden="1">
      <c r="A112" s="16" t="s">
        <v>11</v>
      </c>
      <c r="F112" s="20">
        <v>25</v>
      </c>
      <c r="G112" s="16" t="s">
        <v>10</v>
      </c>
    </row>
    <row r="113" spans="1:7" ht="12.75" hidden="1">
      <c r="A113" s="16" t="s">
        <v>20</v>
      </c>
      <c r="F113" s="23" t="s">
        <v>23</v>
      </c>
      <c r="G113" s="16" t="s">
        <v>22</v>
      </c>
    </row>
    <row r="114" spans="1:7" ht="12.75" hidden="1">
      <c r="A114" s="16" t="s">
        <v>21</v>
      </c>
      <c r="F114" s="41">
        <v>10</v>
      </c>
      <c r="G114" s="16" t="s">
        <v>12</v>
      </c>
    </row>
    <row r="115" ht="12.75" hidden="1"/>
    <row r="116" ht="12.75" hidden="1">
      <c r="A116" s="16" t="s">
        <v>91</v>
      </c>
    </row>
    <row r="117" ht="12.75" hidden="1"/>
    <row r="118" spans="1:7" ht="12.75" hidden="1">
      <c r="A118" s="16" t="s">
        <v>92</v>
      </c>
      <c r="F118" s="41">
        <v>377</v>
      </c>
      <c r="G118" s="16" t="s">
        <v>93</v>
      </c>
    </row>
    <row r="119" ht="12.75" hidden="1"/>
    <row r="120" spans="1:7" ht="12.75" hidden="1">
      <c r="A120" s="16" t="s">
        <v>94</v>
      </c>
      <c r="F120" s="41">
        <v>1500</v>
      </c>
      <c r="G120" s="16" t="s">
        <v>4</v>
      </c>
    </row>
    <row r="121" spans="1:7" ht="12.75" hidden="1">
      <c r="A121" s="16" t="s">
        <v>95</v>
      </c>
      <c r="F121" s="41">
        <v>80</v>
      </c>
      <c r="G121" s="16" t="s">
        <v>4</v>
      </c>
    </row>
    <row r="122" ht="12.75" hidden="1"/>
    <row r="123" spans="1:7" ht="12.75" hidden="1">
      <c r="A123" s="16" t="s">
        <v>96</v>
      </c>
      <c r="F123" s="58">
        <f>SUM(F120:F122)</f>
        <v>1580</v>
      </c>
      <c r="G123" s="51" t="s">
        <v>4</v>
      </c>
    </row>
    <row r="124" ht="12.75" hidden="1"/>
    <row r="125" spans="1:7" ht="12.75" hidden="1">
      <c r="A125" s="16" t="s">
        <v>97</v>
      </c>
      <c r="B125" s="51" t="s">
        <v>125</v>
      </c>
      <c r="F125" s="58">
        <f>F123*F118</f>
        <v>595660</v>
      </c>
      <c r="G125" s="51" t="s">
        <v>4</v>
      </c>
    </row>
  </sheetData>
  <sheetProtection/>
  <dataValidations count="5">
    <dataValidation type="list" allowBlank="1" showInputMessage="1" showErrorMessage="1" sqref="F113">
      <formula1>"ja, nej"</formula1>
    </dataValidation>
    <dataValidation type="whole" operator="greaterThanOrEqual" allowBlank="1" showInputMessage="1" showErrorMessage="1" sqref="F118 F120:F121 F101:F109 F19:F21 F24:F25 F27 F54 F98:F99 F93:F96 F36:F51 F57 F91 F75 F29:F32">
      <formula1>0</formula1>
    </dataValidation>
    <dataValidation type="decimal" allowBlank="1" showInputMessage="1" showErrorMessage="1" sqref="F100 F81:G87 F92">
      <formula1>0</formula1>
      <formula2>0.99</formula2>
    </dataValidation>
    <dataValidation type="whole" allowBlank="1" showInputMessage="1" showErrorMessage="1" sqref="F72">
      <formula1>-99999999</formula1>
      <formula2>99999999</formula2>
    </dataValidation>
    <dataValidation type="decimal" operator="greaterThanOrEqual" allowBlank="1" showInputMessage="1" showErrorMessage="1" sqref="F3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2">
      <selection activeCell="A41" sqref="A41"/>
    </sheetView>
  </sheetViews>
  <sheetFormatPr defaultColWidth="9.140625" defaultRowHeight="12.75"/>
  <cols>
    <col min="1" max="1" width="88.140625" style="12" customWidth="1"/>
    <col min="2" max="2" width="13.7109375" style="12" customWidth="1"/>
    <col min="3" max="3" width="3.140625" style="12" customWidth="1"/>
    <col min="4" max="5" width="10.7109375" style="12" hidden="1" customWidth="1"/>
    <col min="6" max="6" width="11.28125" style="12" bestFit="1" customWidth="1"/>
    <col min="7" max="7" width="10.8515625" style="12" bestFit="1" customWidth="1"/>
    <col min="8" max="16384" width="9.140625" style="12" customWidth="1"/>
  </cols>
  <sheetData>
    <row r="1" ht="12.75">
      <c r="A1" s="2" t="s">
        <v>65</v>
      </c>
    </row>
    <row r="2" ht="12.75">
      <c r="A2" s="99" t="s">
        <v>143</v>
      </c>
    </row>
    <row r="3" spans="1:4" ht="12.75">
      <c r="A3"/>
      <c r="B3"/>
      <c r="D3" s="13"/>
    </row>
    <row r="4" spans="1:5" ht="12.75">
      <c r="A4" s="2" t="s">
        <v>62</v>
      </c>
      <c r="B4" s="3" t="s">
        <v>25</v>
      </c>
      <c r="D4" s="14" t="s">
        <v>0</v>
      </c>
      <c r="E4" s="26" t="s">
        <v>26</v>
      </c>
    </row>
    <row r="5" spans="1:2" ht="12.75" hidden="1">
      <c r="A5" t="s">
        <v>2</v>
      </c>
      <c r="B5">
        <f>'Ark 2 - Indtast egne tal'!F12</f>
        <v>2</v>
      </c>
    </row>
    <row r="6" spans="1:2" ht="12.75" hidden="1">
      <c r="A6" t="s">
        <v>13</v>
      </c>
      <c r="B6">
        <f>'Ark 2 - Indtast egne tal'!F14</f>
        <v>32</v>
      </c>
    </row>
    <row r="7" spans="1:2" ht="12.75" hidden="1">
      <c r="A7" t="s">
        <v>19</v>
      </c>
      <c r="B7">
        <f>'Ark 2 - Indtast egne tal'!F15</f>
        <v>45</v>
      </c>
    </row>
    <row r="8" spans="1:2" ht="12.75">
      <c r="A8" t="s">
        <v>141</v>
      </c>
      <c r="B8" s="4">
        <f>'Ark 2 - Indtast egne tal'!F91</f>
        <v>7800000</v>
      </c>
    </row>
    <row r="9" spans="1:5" ht="12.75">
      <c r="A9" t="s">
        <v>140</v>
      </c>
      <c r="B9" s="4">
        <f>'Ark 2 - Indtast egne tal'!F94</f>
        <v>189065</v>
      </c>
      <c r="E9" s="27">
        <f>'Ark 2 - Indtast egne tal'!F69</f>
        <v>100000</v>
      </c>
    </row>
    <row r="10" spans="1:5" ht="12.75">
      <c r="A10" t="s">
        <v>112</v>
      </c>
      <c r="B10" s="4">
        <f>'Ark 2 - Indtast egne tal'!F96</f>
        <v>603000</v>
      </c>
      <c r="E10" s="27"/>
    </row>
    <row r="11" spans="1:5" ht="12.75">
      <c r="A11" t="s">
        <v>108</v>
      </c>
      <c r="B11" s="5">
        <f>'Ark 2 - Indtast egne tal'!F92</f>
        <v>0.15</v>
      </c>
      <c r="E11" s="27"/>
    </row>
    <row r="12" spans="1:5" ht="12.75">
      <c r="A12"/>
      <c r="B12"/>
      <c r="E12" s="27"/>
    </row>
    <row r="13" spans="1:5" ht="12.75">
      <c r="A13" s="2" t="s">
        <v>109</v>
      </c>
      <c r="B13" s="6"/>
      <c r="E13" s="27"/>
    </row>
    <row r="14" spans="1:5" ht="12.75">
      <c r="A14" s="32" t="s">
        <v>110</v>
      </c>
      <c r="B14" s="4">
        <f>'Ark 2 - Indtast egne tal'!F19</f>
        <v>7788231</v>
      </c>
      <c r="D14" s="15"/>
      <c r="E14" s="4" t="e">
        <f>SUM(#REF!)</f>
        <v>#REF!</v>
      </c>
    </row>
    <row r="15" spans="1:5" ht="12.75">
      <c r="A15"/>
      <c r="B15" s="4"/>
      <c r="D15" s="15"/>
      <c r="E15" s="27"/>
    </row>
    <row r="16" spans="1:5" ht="12.75" hidden="1">
      <c r="A16" t="s">
        <v>1</v>
      </c>
      <c r="B16" s="4"/>
      <c r="D16" s="15"/>
      <c r="E16" s="27"/>
    </row>
    <row r="17" spans="1:5" ht="12.75">
      <c r="A17" t="s">
        <v>7</v>
      </c>
      <c r="B17" s="4">
        <f>-'Ark 2 - Indtast egne tal'!F27</f>
        <v>-395698</v>
      </c>
      <c r="D17" s="15" t="e">
        <f>#REF!/12*11</f>
        <v>#REF!</v>
      </c>
      <c r="E17" s="27">
        <f>-'Ark 2 - Indtast egne tal'!F64</f>
        <v>-15000</v>
      </c>
    </row>
    <row r="18" spans="1:5" ht="12.75">
      <c r="A18" t="s">
        <v>46</v>
      </c>
      <c r="B18" s="4">
        <f>-'Ark 2 - Indtast egne tal'!F29-'Ark 2 - Indtast egne tal'!F30-'Ark 2 - Indtast egne tal'!F31</f>
        <v>-1989679</v>
      </c>
      <c r="D18" s="15" t="e">
        <f>#REF!/12*11</f>
        <v>#REF!</v>
      </c>
      <c r="E18" s="27">
        <f>-'Ark 2 - Indtast egne tal'!F65</f>
        <v>-50000</v>
      </c>
    </row>
    <row r="19" spans="1:5" ht="12.75">
      <c r="A19" t="s">
        <v>208</v>
      </c>
      <c r="B19" s="4">
        <f>-IF('Ark 2 - Indtast egne tal'!F32=0,('Ark 2 - Indtast egne tal'!F29+'Ark 2 - Indtast egne tal'!F30)*'Ark 2 - Indtast egne tal'!F33,'Ark 2 - Indtast egne tal'!F32)</f>
        <v>-78519.99</v>
      </c>
      <c r="D19" s="15"/>
      <c r="E19" s="27"/>
    </row>
    <row r="20" spans="1:5" ht="12.75">
      <c r="A20" t="s">
        <v>111</v>
      </c>
      <c r="B20" s="7">
        <f>-('Ark 2 - Indtast egne tal'!F36+'Ark 2 - Indtast egne tal'!F38+'Ark 2 - Indtast egne tal'!F39+'Ark 2 - Indtast egne tal'!F40+'Ark 2 - Indtast egne tal'!F41)</f>
        <v>-233906</v>
      </c>
      <c r="D20" s="15" t="e">
        <f>#REF!/12*11</f>
        <v>#REF!</v>
      </c>
      <c r="E20" s="27">
        <f>-'Ark 2 - Indtast egne tal'!F67</f>
        <v>-25000</v>
      </c>
    </row>
    <row r="21" spans="1:5" ht="12.75">
      <c r="A21" t="s">
        <v>44</v>
      </c>
      <c r="B21" s="4">
        <f>-'Ark 2 - Indtast egne tal'!F57</f>
        <v>-460039</v>
      </c>
      <c r="D21" s="15" t="e">
        <f>#REF!/12*11</f>
        <v>#REF!</v>
      </c>
      <c r="E21" s="27">
        <f>-'Ark 2 - Indtast egne tal'!F66</f>
        <v>-10000</v>
      </c>
    </row>
    <row r="22" spans="1:5" ht="12.75">
      <c r="A22" t="s">
        <v>117</v>
      </c>
      <c r="B22" s="11">
        <f>'Ark 2 - Indtast egne tal'!F72</f>
        <v>-1162</v>
      </c>
      <c r="D22" s="15"/>
      <c r="E22" s="27"/>
    </row>
    <row r="24" spans="1:5" ht="12.75">
      <c r="A24" s="2" t="s">
        <v>41</v>
      </c>
      <c r="B24" s="45">
        <f>SUM(B17:B23)</f>
        <v>-3159003.99</v>
      </c>
      <c r="D24" s="15"/>
      <c r="E24" s="27"/>
    </row>
    <row r="25" spans="1:5" ht="12.75">
      <c r="A25"/>
      <c r="B25" s="4"/>
      <c r="D25" s="15"/>
      <c r="E25" s="27"/>
    </row>
    <row r="26" spans="1:6" ht="13.5" thickBot="1">
      <c r="A26" s="2" t="s">
        <v>144</v>
      </c>
      <c r="B26" s="22">
        <f>+B14+SUM(B24:B25)</f>
        <v>4629227.01</v>
      </c>
      <c r="D26" s="9" t="e">
        <f>SUM(D14:D25)</f>
        <v>#REF!</v>
      </c>
      <c r="E26" s="22" t="e">
        <f>SUM(E14:E25)</f>
        <v>#REF!</v>
      </c>
      <c r="F26" s="15"/>
    </row>
    <row r="27" spans="1:6" ht="13.5" thickTop="1">
      <c r="A27" s="8"/>
      <c r="B27" s="73"/>
      <c r="D27" s="73"/>
      <c r="E27" s="73"/>
      <c r="F27" s="15"/>
    </row>
    <row r="28" spans="1:6" ht="12.75">
      <c r="A28" s="87" t="s">
        <v>146</v>
      </c>
      <c r="B28" s="86">
        <f>-'Ark 2 - Indtast egne tal'!F54</f>
        <v>-326803</v>
      </c>
      <c r="D28" s="73"/>
      <c r="E28" s="73"/>
      <c r="F28" s="15"/>
    </row>
    <row r="29" spans="1:6" ht="12.75">
      <c r="A29" s="77" t="s">
        <v>116</v>
      </c>
      <c r="B29" s="86">
        <f>-SUM('Ark 2 - Indtast egne tal'!F45:F48)</f>
        <v>-24734</v>
      </c>
      <c r="D29" s="73"/>
      <c r="E29" s="73"/>
      <c r="F29" s="15"/>
    </row>
    <row r="30" spans="1:6" ht="12.75">
      <c r="A30" s="87" t="s">
        <v>145</v>
      </c>
      <c r="B30" s="78">
        <f>-'Ark 2 - Indtast egne tal'!F75</f>
        <v>-372671</v>
      </c>
      <c r="D30" s="73"/>
      <c r="E30" s="73"/>
      <c r="F30" s="15"/>
    </row>
    <row r="31" spans="1:6" ht="12.75">
      <c r="A31" s="8"/>
      <c r="B31" s="73"/>
      <c r="D31" s="73"/>
      <c r="E31" s="73"/>
      <c r="F31" s="15"/>
    </row>
    <row r="32" spans="1:6" ht="12.75">
      <c r="A32" s="74" t="s">
        <v>118</v>
      </c>
      <c r="B32" s="105">
        <f>SUM(B26:B30)</f>
        <v>3905019.01</v>
      </c>
      <c r="D32" s="73"/>
      <c r="E32" s="73"/>
      <c r="F32" s="104"/>
    </row>
    <row r="33" spans="1:6" ht="12.75">
      <c r="A33"/>
      <c r="B33" s="4"/>
      <c r="D33" s="73"/>
      <c r="E33" s="73"/>
      <c r="F33" s="104"/>
    </row>
    <row r="34" spans="1:6" ht="12.75">
      <c r="A34" s="87" t="s">
        <v>147</v>
      </c>
      <c r="B34" s="106">
        <f>-SUM(B28:B30)</f>
        <v>724208</v>
      </c>
      <c r="D34" s="73"/>
      <c r="E34" s="73"/>
      <c r="F34" s="104"/>
    </row>
    <row r="35" spans="1:6" ht="12.75">
      <c r="A35"/>
      <c r="B35" s="4"/>
      <c r="D35" s="73"/>
      <c r="E35" s="73"/>
      <c r="F35" s="104"/>
    </row>
    <row r="36" spans="1:7" ht="12.75">
      <c r="A36" s="100" t="str">
        <f>"Kapitalafkast af goodwill, "&amp;(B11*100)&amp;"% "</f>
        <v>Kapitalafkast af goodwill, 15% </v>
      </c>
      <c r="B36" s="101">
        <f>-B8*B11</f>
        <v>-1170000</v>
      </c>
      <c r="E36" s="28" t="e">
        <f>ROUND(PMT('Ark 2 - Indtast egne tal'!#REF!/100,'Ark 2 - Indtast egne tal'!#REF!,'Ark 2 - Indtast egne tal'!F69)/1000,0)*1000</f>
        <v>#REF!</v>
      </c>
      <c r="F36" s="15"/>
      <c r="G36" s="15"/>
    </row>
    <row r="37" spans="1:7" ht="12.75">
      <c r="A37" s="100" t="str">
        <f>"Fradrag for afskrivning"</f>
        <v>Fradrag for afskrivning</v>
      </c>
      <c r="B37" s="102">
        <f>-B9</f>
        <v>-189065</v>
      </c>
      <c r="E37" s="29"/>
      <c r="F37" s="44"/>
      <c r="G37" s="15"/>
    </row>
    <row r="38" spans="1:7" ht="15">
      <c r="A38" s="100" t="str">
        <f>"Fradrag for lejeværdi af klinikejendom"</f>
        <v>Fradrag for lejeværdi af klinikejendom</v>
      </c>
      <c r="B38" s="103">
        <f>-B10</f>
        <v>-603000</v>
      </c>
      <c r="E38" s="27"/>
      <c r="G38" s="15"/>
    </row>
    <row r="39" spans="1:7" ht="15">
      <c r="A39"/>
      <c r="B39" s="24"/>
      <c r="E39" s="27"/>
      <c r="G39" s="15"/>
    </row>
    <row r="40" spans="1:7" ht="15">
      <c r="A40" s="98" t="s">
        <v>79</v>
      </c>
      <c r="B40" s="79">
        <f>SUM(B36:B39)</f>
        <v>-1962065</v>
      </c>
      <c r="E40" s="27"/>
      <c r="G40" s="15"/>
    </row>
    <row r="41" spans="1:7" ht="12.75">
      <c r="A41" s="32"/>
      <c r="B41" s="4"/>
      <c r="E41" s="27"/>
      <c r="G41" s="15"/>
    </row>
    <row r="42" spans="1:5" ht="15.75">
      <c r="A42" s="75" t="s">
        <v>162</v>
      </c>
      <c r="B42" s="76">
        <f>B26+B40</f>
        <v>2667162.01</v>
      </c>
      <c r="E42" s="30" t="e">
        <f>SUM(E26:E37)</f>
        <v>#REF!</v>
      </c>
    </row>
    <row r="43" spans="1:5" ht="15" hidden="1">
      <c r="A43" t="s">
        <v>14</v>
      </c>
      <c r="B43" s="24">
        <f>B42/B5</f>
        <v>1333581.005</v>
      </c>
      <c r="E43" s="27"/>
    </row>
    <row r="44" spans="1:5" ht="12.75" hidden="1">
      <c r="A44" s="10"/>
      <c r="B44" s="7"/>
      <c r="E44" s="27"/>
    </row>
    <row r="45" spans="1:5" ht="12.75" hidden="1">
      <c r="A45" t="s">
        <v>16</v>
      </c>
      <c r="B45">
        <f>B43/B6/B7</f>
        <v>926.0979201388889</v>
      </c>
      <c r="E45" s="27"/>
    </row>
    <row r="46" spans="1:5" ht="12.75" hidden="1">
      <c r="A46"/>
      <c r="B46"/>
      <c r="E46" s="27"/>
    </row>
    <row r="47" spans="1:5" ht="12.75" hidden="1">
      <c r="A47" t="e">
        <f>"Fradrag for ejerskab, "&amp;'Ark 2 - Indtast egne tal'!#REF!&amp;" %"</f>
        <v>#REF!</v>
      </c>
      <c r="B47" s="33" t="e">
        <f>-B45*('Ark 2 - Indtast egne tal'!#REF!/100)</f>
        <v>#REF!</v>
      </c>
      <c r="E47" s="29" t="e">
        <f>E42*-'Ark 2 - Indtast egne tal'!#REF!/100</f>
        <v>#REF!</v>
      </c>
    </row>
    <row r="48" spans="1:5" ht="12.75" hidden="1">
      <c r="A48"/>
      <c r="B48"/>
      <c r="E48" s="27"/>
    </row>
    <row r="49" spans="1:5" ht="15.75" hidden="1">
      <c r="A49" s="1" t="s">
        <v>34</v>
      </c>
      <c r="B49"/>
      <c r="E49" s="36" t="e">
        <f>SUM(E42:E47)</f>
        <v>#REF!</v>
      </c>
    </row>
    <row r="50" spans="1:5" ht="15.75" hidden="1">
      <c r="A50" s="1" t="s">
        <v>35</v>
      </c>
      <c r="B50"/>
      <c r="E50" s="37" t="e">
        <f>E49/#REF!</f>
        <v>#REF!</v>
      </c>
    </row>
    <row r="51" spans="1:2" ht="12.75" hidden="1">
      <c r="A51"/>
      <c r="B51"/>
    </row>
    <row r="52" spans="1:2" ht="15.75" hidden="1">
      <c r="A52" s="1" t="s">
        <v>24</v>
      </c>
      <c r="B52" s="34" t="e">
        <f>B45+B47</f>
        <v>#REF!</v>
      </c>
    </row>
    <row r="53" spans="1:2" ht="15.75" hidden="1">
      <c r="A53" s="1" t="str">
        <f>"Samlet vederlag til assisterende læge, pr. uge, "&amp;'Ark 2 - Indtast egne tal'!F112&amp;" timer"</f>
        <v>Samlet vederlag til assisterende læge, pr. uge, 25 timer</v>
      </c>
      <c r="B53" s="35" t="e">
        <f>B52*'Ark 2 - Indtast egne tal'!F112</f>
        <v>#REF!</v>
      </c>
    </row>
    <row r="54" spans="1:2" ht="15.75" hidden="1">
      <c r="A54" s="1" t="str">
        <f>"Samlet vederlag til assisterende læge, pr. måned, "&amp;'Ark 2 - Indtast egne tal'!F112*4.33&amp;" timer"</f>
        <v>Samlet vederlag til assisterende læge, pr. måned, 108,25 timer</v>
      </c>
      <c r="B54" s="34" t="e">
        <f>B53*4.33</f>
        <v>#REF!</v>
      </c>
    </row>
    <row r="55" spans="1:2" ht="15.75" hidden="1">
      <c r="A55" s="1"/>
      <c r="B55" s="25"/>
    </row>
    <row r="56" spans="1:2" ht="15.75" hidden="1">
      <c r="A56" s="1" t="str">
        <f>"Vederlag til assisterende læge, pr. time, før pension "&amp;'Ark 2 - Indtast egne tal'!$F$114&amp;" % og feriepenge"</f>
        <v>Vederlag til assisterende læge, pr. time, før pension 10 % og feriepenge</v>
      </c>
      <c r="B56" s="34" t="e">
        <f>B52/IF('Ark 2 - Indtast egne tal'!F113="ja",1.125,1)/(1+('Ark 2 - Indtast egne tal'!F114/100))</f>
        <v>#REF!</v>
      </c>
    </row>
    <row r="57" spans="1:2" ht="15.75" hidden="1">
      <c r="A57" s="1" t="str">
        <f>"Vederlag til assisterende læge, pr. uge, før pension "&amp;'Ark 2 - Indtast egne tal'!$F$114&amp;" % og feriepenge"</f>
        <v>Vederlag til assisterende læge, pr. uge, før pension 10 % og feriepenge</v>
      </c>
      <c r="B57" s="35" t="e">
        <f>B56*'Ark 2 - Indtast egne tal'!F112</f>
        <v>#REF!</v>
      </c>
    </row>
    <row r="58" spans="1:2" ht="15.75" hidden="1">
      <c r="A58" s="1" t="str">
        <f>"Vederlag til assisterende læge, pr. måned, før pension "&amp;'Ark 2 - Indtast egne tal'!$F$114&amp;" % og feriepenge"</f>
        <v>Vederlag til assisterende læge, pr. måned, før pension 10 % og feriepenge</v>
      </c>
      <c r="B58" s="34" t="e">
        <f>B57*4.33</f>
        <v>#REF!</v>
      </c>
    </row>
    <row r="59" spans="1:2" ht="15.75" hidden="1">
      <c r="A59" s="1"/>
      <c r="B59" s="31"/>
    </row>
    <row r="60" spans="1:9" ht="15.75">
      <c r="A60" s="1"/>
      <c r="B60" s="31"/>
      <c r="I60" s="15"/>
    </row>
    <row r="61" spans="1:2" ht="15.75" customHeight="1" hidden="1">
      <c r="A61" s="32" t="s">
        <v>36</v>
      </c>
      <c r="B61" s="40"/>
    </row>
    <row r="62" spans="1:2" ht="15.75" customHeight="1" hidden="1">
      <c r="A62" s="1"/>
      <c r="B62" s="31"/>
    </row>
    <row r="63" spans="1:2" ht="12.75" customHeight="1" hidden="1">
      <c r="A63"/>
      <c r="B63"/>
    </row>
    <row r="64" spans="1:5" ht="12.75" customHeight="1" hidden="1">
      <c r="A64" t="s">
        <v>15</v>
      </c>
      <c r="B64" s="4">
        <f>(B8+B9)/7</f>
        <v>1141295</v>
      </c>
      <c r="E64" s="4">
        <f>(E8+E9)/7</f>
        <v>14285.714285714286</v>
      </c>
    </row>
    <row r="65" ht="12.75" customHeight="1" hidden="1"/>
    <row r="66" ht="12.75" customHeight="1" hidden="1"/>
    <row r="67" ht="12.75" customHeight="1" hidden="1"/>
    <row r="68" ht="12.75" customHeight="1" hidden="1"/>
    <row r="69" spans="1:9" ht="15.75" hidden="1">
      <c r="A69" s="42" t="s">
        <v>48</v>
      </c>
      <c r="B69" s="43" t="e">
        <f>B76/1.2417</f>
        <v>#REF!</v>
      </c>
      <c r="I69" s="15"/>
    </row>
    <row r="70" ht="12.75" customHeight="1" hidden="1"/>
    <row r="71" ht="12.75" customHeight="1" hidden="1">
      <c r="A71" s="12" t="s">
        <v>40</v>
      </c>
    </row>
    <row r="72" ht="12.75" customHeight="1" hidden="1"/>
    <row r="73" s="42" customFormat="1" ht="15.75" hidden="1">
      <c r="A73" s="46" t="s">
        <v>49</v>
      </c>
    </row>
    <row r="74" ht="12.75" hidden="1">
      <c r="A74" s="55"/>
    </row>
    <row r="75" spans="1:9" ht="15.75" hidden="1">
      <c r="A75" s="54" t="s">
        <v>67</v>
      </c>
      <c r="C75" s="39"/>
      <c r="D75" s="39"/>
      <c r="E75" s="38" t="e">
        <f>E49/#REF!</f>
        <v>#REF!</v>
      </c>
      <c r="H75" s="15"/>
      <c r="I75" s="15"/>
    </row>
    <row r="76" spans="1:2" ht="12.75" hidden="1">
      <c r="A76" s="62" t="s">
        <v>66</v>
      </c>
      <c r="B76" s="60" t="e">
        <f>B42/#REF!/1.0308</f>
        <v>#REF!</v>
      </c>
    </row>
    <row r="77" ht="12.75" hidden="1">
      <c r="A77" s="55" t="s">
        <v>57</v>
      </c>
    </row>
    <row r="78" ht="12.75" hidden="1"/>
    <row r="79" ht="12.75" hidden="1">
      <c r="A79" s="55" t="s">
        <v>50</v>
      </c>
    </row>
    <row r="80" ht="12.75" hidden="1">
      <c r="A80" s="55" t="s">
        <v>52</v>
      </c>
    </row>
    <row r="81" ht="12.75" hidden="1">
      <c r="A81" s="56" t="s">
        <v>53</v>
      </c>
    </row>
    <row r="82" ht="12.75" hidden="1">
      <c r="A82" s="55" t="s">
        <v>51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8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2" sqref="H22"/>
    </sheetView>
  </sheetViews>
  <sheetFormatPr defaultColWidth="18.421875" defaultRowHeight="12.75"/>
  <cols>
    <col min="1" max="1" width="25.140625" style="80" customWidth="1"/>
    <col min="2" max="2" width="11.7109375" style="80" customWidth="1"/>
    <col min="3" max="3" width="16.00390625" style="80" customWidth="1"/>
    <col min="4" max="4" width="3.28125" style="80" customWidth="1"/>
    <col min="5" max="5" width="22.7109375" style="80" customWidth="1"/>
    <col min="6" max="6" width="19.57421875" style="80" bestFit="1" customWidth="1"/>
    <col min="7" max="7" width="33.421875" style="80" bestFit="1" customWidth="1"/>
    <col min="8" max="8" width="22.140625" style="80" bestFit="1" customWidth="1"/>
    <col min="9" max="16384" width="18.421875" style="80" customWidth="1"/>
  </cols>
  <sheetData>
    <row r="1" spans="1:7" ht="15.75">
      <c r="A1" s="88" t="s">
        <v>119</v>
      </c>
      <c r="B1" s="88"/>
      <c r="C1" s="88"/>
      <c r="G1" s="94" t="s">
        <v>169</v>
      </c>
    </row>
    <row r="2" spans="5:8" ht="12.75">
      <c r="E2" s="93"/>
      <c r="F2" s="93"/>
      <c r="G2" s="94" t="s">
        <v>152</v>
      </c>
      <c r="H2" s="95" t="s">
        <v>149</v>
      </c>
    </row>
    <row r="3" spans="5:8" ht="12.75">
      <c r="E3" s="96" t="s">
        <v>71</v>
      </c>
      <c r="F3" s="97" t="s">
        <v>115</v>
      </c>
      <c r="G3" s="94" t="s">
        <v>160</v>
      </c>
      <c r="H3" s="95" t="s">
        <v>150</v>
      </c>
    </row>
    <row r="4" spans="2:8" ht="12.75">
      <c r="B4" s="107" t="s">
        <v>69</v>
      </c>
      <c r="C4" s="107" t="s">
        <v>149</v>
      </c>
      <c r="E4" s="96" t="s">
        <v>148</v>
      </c>
      <c r="F4" s="97" t="s">
        <v>127</v>
      </c>
      <c r="G4" s="94" t="s">
        <v>161</v>
      </c>
      <c r="H4" s="95" t="s">
        <v>151</v>
      </c>
    </row>
    <row r="5" s="85" customFormat="1" ht="12.75"/>
    <row r="6" spans="1:8" ht="12.75">
      <c r="A6" s="80" t="str">
        <f>'Ark 2 - Indtast egne tal'!A81</f>
        <v>Læge 1</v>
      </c>
      <c r="B6" s="108">
        <f>'Ark 2 - Indtast egne tal'!F81</f>
        <v>0.3</v>
      </c>
      <c r="C6" s="108">
        <f>'Ark 2 - Indtast egne tal'!G81</f>
        <v>0.25</v>
      </c>
      <c r="E6" s="83">
        <f>'Ark 3'!$B$42*'Ark 2 - Indtast egne tal'!G81</f>
        <v>666790.5025</v>
      </c>
      <c r="F6" s="84">
        <f>-'Ark 2 - Indtast egne tal'!F81*'Ark 3'!$B$40</f>
        <v>588619.5</v>
      </c>
      <c r="G6" s="81">
        <f>'Ark 2 - Indtast egne tal'!F81*SUM('Ark 3'!$B$28:$B$30)</f>
        <v>-217262.4</v>
      </c>
      <c r="H6" s="82">
        <f aca="true" t="shared" si="0" ref="H6:H12">SUM(E6:G6)</f>
        <v>1038147.6024999999</v>
      </c>
    </row>
    <row r="7" spans="1:8" ht="12.75">
      <c r="A7" s="80" t="str">
        <f>'Ark 2 - Indtast egne tal'!A82</f>
        <v>Læge 2</v>
      </c>
      <c r="B7" s="108">
        <f>'Ark 2 - Indtast egne tal'!F82</f>
        <v>0.3</v>
      </c>
      <c r="C7" s="108">
        <f>'Ark 2 - Indtast egne tal'!G82</f>
        <v>0.25</v>
      </c>
      <c r="E7" s="83">
        <f>'Ark 3'!$B$42*'Ark 2 - Indtast egne tal'!G82</f>
        <v>666790.5025</v>
      </c>
      <c r="F7" s="84">
        <f>-'Ark 2 - Indtast egne tal'!F82*'Ark 3'!$B$40</f>
        <v>588619.5</v>
      </c>
      <c r="G7" s="81">
        <f>'Ark 2 - Indtast egne tal'!F82*SUM('Ark 3'!$B$28:$B$30)</f>
        <v>-217262.4</v>
      </c>
      <c r="H7" s="82">
        <f t="shared" si="0"/>
        <v>1038147.6024999999</v>
      </c>
    </row>
    <row r="8" spans="1:8" ht="12.75">
      <c r="A8" s="80" t="str">
        <f>'Ark 2 - Indtast egne tal'!A83</f>
        <v>Læge 3</v>
      </c>
      <c r="B8" s="108">
        <f>'Ark 2 - Indtast egne tal'!F83</f>
        <v>0.3</v>
      </c>
      <c r="C8" s="108">
        <f>'Ark 2 - Indtast egne tal'!G83</f>
        <v>0.25</v>
      </c>
      <c r="E8" s="83">
        <f>'Ark 3'!$B$42*'Ark 2 - Indtast egne tal'!G83</f>
        <v>666790.5025</v>
      </c>
      <c r="F8" s="84">
        <f>-'Ark 2 - Indtast egne tal'!F83*'Ark 3'!$B$40</f>
        <v>588619.5</v>
      </c>
      <c r="G8" s="81">
        <f>'Ark 2 - Indtast egne tal'!F83*SUM('Ark 3'!$B$28:$B$30)</f>
        <v>-217262.4</v>
      </c>
      <c r="H8" s="82">
        <f t="shared" si="0"/>
        <v>1038147.6024999999</v>
      </c>
    </row>
    <row r="9" spans="1:8" ht="12.75">
      <c r="A9" s="80" t="str">
        <f>'Ark 2 - Indtast egne tal'!A84</f>
        <v>Læge 4</v>
      </c>
      <c r="B9" s="108">
        <f>'Ark 2 - Indtast egne tal'!F84</f>
        <v>0.1</v>
      </c>
      <c r="C9" s="108">
        <f>'Ark 2 - Indtast egne tal'!G84</f>
        <v>0.25</v>
      </c>
      <c r="E9" s="83">
        <f>'Ark 3'!$B$42*'Ark 2 - Indtast egne tal'!G84</f>
        <v>666790.5025</v>
      </c>
      <c r="F9" s="84">
        <f>-'Ark 2 - Indtast egne tal'!F84*'Ark 3'!$B$40</f>
        <v>196206.5</v>
      </c>
      <c r="G9" s="81">
        <f>'Ark 2 - Indtast egne tal'!F84*SUM('Ark 3'!$B$28:$B$30)</f>
        <v>-72420.8</v>
      </c>
      <c r="H9" s="82">
        <f t="shared" si="0"/>
        <v>790576.2024999999</v>
      </c>
    </row>
    <row r="10" spans="1:8" ht="12.75">
      <c r="A10" s="80" t="str">
        <f>'Ark 2 - Indtast egne tal'!A85</f>
        <v>Læge 5</v>
      </c>
      <c r="B10" s="108">
        <f>'Ark 2 - Indtast egne tal'!F85</f>
        <v>0</v>
      </c>
      <c r="C10" s="108">
        <f>'Ark 2 - Indtast egne tal'!G85</f>
        <v>0</v>
      </c>
      <c r="E10" s="83">
        <f>'Ark 3'!$B$42*'Ark 2 - Indtast egne tal'!G85</f>
        <v>0</v>
      </c>
      <c r="F10" s="84">
        <f>-'Ark 2 - Indtast egne tal'!F85*'Ark 3'!$B$40</f>
        <v>0</v>
      </c>
      <c r="G10" s="81">
        <f>'Ark 2 - Indtast egne tal'!F85*SUM('Ark 3'!$B$28:$B$30)</f>
        <v>0</v>
      </c>
      <c r="H10" s="82">
        <f t="shared" si="0"/>
        <v>0</v>
      </c>
    </row>
    <row r="11" spans="1:8" ht="12.75">
      <c r="A11" s="80" t="str">
        <f>'Ark 2 - Indtast egne tal'!A86</f>
        <v>Læge 6</v>
      </c>
      <c r="B11" s="108">
        <f>'Ark 2 - Indtast egne tal'!F86</f>
        <v>0</v>
      </c>
      <c r="C11" s="108">
        <f>'Ark 2 - Indtast egne tal'!G86</f>
        <v>0</v>
      </c>
      <c r="E11" s="83">
        <f>'Ark 3'!$B$42*'Ark 2 - Indtast egne tal'!G86</f>
        <v>0</v>
      </c>
      <c r="F11" s="84">
        <f>-'Ark 2 - Indtast egne tal'!F86*'Ark 3'!$B$40</f>
        <v>0</v>
      </c>
      <c r="G11" s="81">
        <f>'Ark 2 - Indtast egne tal'!F86*SUM('Ark 3'!$B$28:$B$30)</f>
        <v>0</v>
      </c>
      <c r="H11" s="82">
        <f t="shared" si="0"/>
        <v>0</v>
      </c>
    </row>
    <row r="12" spans="1:8" ht="12.75">
      <c r="A12" s="80" t="str">
        <f>'Ark 2 - Indtast egne tal'!A87</f>
        <v>Læge 7</v>
      </c>
      <c r="B12" s="108">
        <f>'Ark 2 - Indtast egne tal'!F87</f>
        <v>0</v>
      </c>
      <c r="C12" s="108">
        <f>'Ark 2 - Indtast egne tal'!G87</f>
        <v>0</v>
      </c>
      <c r="E12" s="83">
        <f>'Ark 3'!$B$42*'Ark 2 - Indtast egne tal'!G87</f>
        <v>0</v>
      </c>
      <c r="F12" s="84">
        <f>-'Ark 2 - Indtast egne tal'!F87*'Ark 3'!$B$40</f>
        <v>0</v>
      </c>
      <c r="G12" s="81">
        <f>'Ark 2 - Indtast egne tal'!F87*SUM('Ark 3'!$B$28:$B$30)</f>
        <v>0</v>
      </c>
      <c r="H12" s="82">
        <f t="shared" si="0"/>
        <v>0</v>
      </c>
    </row>
    <row r="13" spans="5:8" ht="12.75">
      <c r="E13" s="85"/>
      <c r="F13" s="85"/>
      <c r="G13" s="85"/>
      <c r="H13" s="85"/>
    </row>
    <row r="14" spans="1:8" ht="12.75">
      <c r="A14" s="80" t="s">
        <v>114</v>
      </c>
      <c r="E14" s="91">
        <f>SUM(E6:E13)</f>
        <v>2667162.01</v>
      </c>
      <c r="F14" s="92">
        <f>SUM(F6:F13)</f>
        <v>1962065</v>
      </c>
      <c r="G14" s="89">
        <f>SUM(G6:G12)</f>
        <v>-724208</v>
      </c>
      <c r="H14" s="90">
        <f>SUM(H6:H12)</f>
        <v>3905019.01</v>
      </c>
    </row>
    <row r="18" spans="6:8" ht="12.75">
      <c r="F18" s="80" t="s">
        <v>172</v>
      </c>
      <c r="G18" s="80" t="s">
        <v>170</v>
      </c>
      <c r="H18" s="80" t="s">
        <v>209</v>
      </c>
    </row>
    <row r="19" spans="6:8" ht="12.75">
      <c r="F19" s="80" t="s">
        <v>173</v>
      </c>
      <c r="G19" s="80" t="s">
        <v>171</v>
      </c>
      <c r="H19" s="80" t="s">
        <v>210</v>
      </c>
    </row>
    <row r="20" spans="6:8" ht="12.75">
      <c r="F20" s="80" t="s">
        <v>174</v>
      </c>
      <c r="G20" s="80" t="s">
        <v>188</v>
      </c>
      <c r="H20" s="80" t="s">
        <v>211</v>
      </c>
    </row>
    <row r="21" spans="6:8" ht="12.75">
      <c r="F21" s="80" t="s">
        <v>186</v>
      </c>
      <c r="H21" s="80" t="s">
        <v>212</v>
      </c>
    </row>
    <row r="22" ht="12.75">
      <c r="F22" s="80" t="s">
        <v>187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Poulsen, Soeren Moeller (DK - Birkeroed)</dc:creator>
  <cp:keywords/>
  <dc:description/>
  <cp:lastModifiedBy>Helle Lindholm</cp:lastModifiedBy>
  <cp:lastPrinted>2016-12-15T10:57:18Z</cp:lastPrinted>
  <dcterms:created xsi:type="dcterms:W3CDTF">2011-05-23T05:27:30Z</dcterms:created>
  <dcterms:modified xsi:type="dcterms:W3CDTF">2019-05-29T11:14:09Z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Beregner til brug for praksis med partnerlæge version 02-03-2012</vt:lpwstr>
  </property>
  <property fmtid="{D5CDD505-2E9C-101B-9397-08002B2CF9AE}" pid="3" name="path">
    <vt:lpwstr>C:\Users\hb\AppData\Local\Temp\SJ20121005143653674 (DOR587242).XLSX</vt:lpwstr>
  </property>
  <property fmtid="{D5CDD505-2E9C-101B-9397-08002B2CF9AE}" pid="4" name="command">
    <vt:lpwstr/>
  </property>
</Properties>
</file>