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dl-my.sharepoint.com/personal/jha_dadl_dk/Documents/Skrivebord/"/>
    </mc:Choice>
  </mc:AlternateContent>
  <xr:revisionPtr revIDLastSave="0" documentId="8_{F9DF4FA8-A9F7-4543-8359-068189736C23}" xr6:coauthVersionLast="47" xr6:coauthVersionMax="47" xr10:uidLastSave="{00000000-0000-0000-0000-000000000000}"/>
  <bookViews>
    <workbookView xWindow="-105" yWindow="0" windowWidth="26010" windowHeight="20985" xr2:uid="{00000000-000D-0000-FFFF-FFFF00000000}"/>
  </bookViews>
  <sheets>
    <sheet name="Ark1" sheetId="1" r:id="rId1"/>
  </sheets>
  <definedNames>
    <definedName name="_xlnm.Print_Area" localSheetId="0">'Ark1'!$B$1:$L$27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2" i="1" l="1"/>
  <c r="C34" i="1" s="1"/>
  <c r="L26" i="1" l="1"/>
  <c r="L27" i="1" s="1"/>
  <c r="L6" i="1" s="1"/>
  <c r="C31" i="1"/>
  <c r="P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C26" i="1" l="1"/>
  <c r="C27" i="1" s="1"/>
  <c r="C25" i="1" s="1"/>
  <c r="J26" i="1"/>
  <c r="J27" i="1" s="1"/>
  <c r="D26" i="1"/>
  <c r="D27" i="1" s="1"/>
  <c r="H26" i="1"/>
  <c r="H27" i="1" s="1"/>
  <c r="F26" i="1"/>
  <c r="F27" i="1" s="1"/>
  <c r="K26" i="1"/>
  <c r="K27" i="1" s="1"/>
  <c r="E26" i="1"/>
  <c r="E27" i="1" s="1"/>
  <c r="G26" i="1"/>
  <c r="G27" i="1" s="1"/>
  <c r="I26" i="1"/>
  <c r="I27" i="1" s="1"/>
  <c r="C6" i="1" l="1"/>
  <c r="C17" i="1"/>
  <c r="L21" i="1"/>
  <c r="L8" i="1"/>
  <c r="L15" i="1"/>
  <c r="L13" i="1"/>
  <c r="L22" i="1"/>
  <c r="L9" i="1"/>
  <c r="L16" i="1"/>
  <c r="L24" i="1"/>
  <c r="L10" i="1"/>
  <c r="L19" i="1"/>
  <c r="L14" i="1"/>
  <c r="L23" i="1"/>
  <c r="L7" i="1"/>
  <c r="L18" i="1"/>
  <c r="L17" i="1"/>
  <c r="L12" i="1"/>
  <c r="L20" i="1"/>
  <c r="L11" i="1"/>
  <c r="L25" i="1"/>
  <c r="K21" i="1"/>
  <c r="K8" i="1"/>
  <c r="K10" i="1"/>
  <c r="K22" i="1"/>
  <c r="K17" i="1"/>
  <c r="K15" i="1"/>
  <c r="K20" i="1"/>
  <c r="K14" i="1"/>
  <c r="K7" i="1"/>
  <c r="K6" i="1"/>
  <c r="K18" i="1"/>
  <c r="K23" i="1"/>
  <c r="K13" i="1"/>
  <c r="K16" i="1"/>
  <c r="K19" i="1"/>
  <c r="K24" i="1"/>
  <c r="K12" i="1"/>
  <c r="K9" i="1"/>
  <c r="K25" i="1"/>
  <c r="K11" i="1"/>
  <c r="E16" i="1"/>
  <c r="E9" i="1"/>
  <c r="E7" i="1"/>
  <c r="E15" i="1"/>
  <c r="E6" i="1"/>
  <c r="E11" i="1"/>
  <c r="E18" i="1"/>
  <c r="E23" i="1"/>
  <c r="E19" i="1"/>
  <c r="E13" i="1"/>
  <c r="E21" i="1"/>
  <c r="E14" i="1"/>
  <c r="E25" i="1"/>
  <c r="E17" i="1"/>
  <c r="E24" i="1"/>
  <c r="E8" i="1"/>
  <c r="E20" i="1"/>
  <c r="E22" i="1"/>
  <c r="E10" i="1"/>
  <c r="E12" i="1"/>
  <c r="F15" i="1"/>
  <c r="F8" i="1"/>
  <c r="F18" i="1"/>
  <c r="F22" i="1"/>
  <c r="F14" i="1"/>
  <c r="F10" i="1"/>
  <c r="F20" i="1"/>
  <c r="F16" i="1"/>
  <c r="F13" i="1"/>
  <c r="F17" i="1"/>
  <c r="F7" i="1"/>
  <c r="F25" i="1"/>
  <c r="F12" i="1"/>
  <c r="F21" i="1"/>
  <c r="F23" i="1"/>
  <c r="F9" i="1"/>
  <c r="F11" i="1"/>
  <c r="F6" i="1"/>
  <c r="F24" i="1"/>
  <c r="F19" i="1"/>
  <c r="H12" i="1"/>
  <c r="H24" i="1"/>
  <c r="H7" i="1"/>
  <c r="H6" i="1"/>
  <c r="H11" i="1"/>
  <c r="H10" i="1"/>
  <c r="H18" i="1"/>
  <c r="H25" i="1"/>
  <c r="H8" i="1"/>
  <c r="H9" i="1"/>
  <c r="H13" i="1"/>
  <c r="H23" i="1"/>
  <c r="H20" i="1"/>
  <c r="H21" i="1"/>
  <c r="H16" i="1"/>
  <c r="H15" i="1"/>
  <c r="H14" i="1"/>
  <c r="H19" i="1"/>
  <c r="H22" i="1"/>
  <c r="H17" i="1"/>
  <c r="C10" i="1"/>
  <c r="C8" i="1"/>
  <c r="C7" i="1"/>
  <c r="C11" i="1"/>
  <c r="C23" i="1"/>
  <c r="C13" i="1"/>
  <c r="C12" i="1"/>
  <c r="C9" i="1"/>
  <c r="C14" i="1"/>
  <c r="C18" i="1"/>
  <c r="C24" i="1"/>
  <c r="C21" i="1"/>
  <c r="C15" i="1"/>
  <c r="C19" i="1"/>
  <c r="C20" i="1"/>
  <c r="C16" i="1"/>
  <c r="C22" i="1"/>
  <c r="I20" i="1"/>
  <c r="I12" i="1"/>
  <c r="I6" i="1"/>
  <c r="I8" i="1"/>
  <c r="I23" i="1"/>
  <c r="I19" i="1"/>
  <c r="I25" i="1"/>
  <c r="I9" i="1"/>
  <c r="I18" i="1"/>
  <c r="I10" i="1"/>
  <c r="I24" i="1"/>
  <c r="I7" i="1"/>
  <c r="I15" i="1"/>
  <c r="I11" i="1"/>
  <c r="I14" i="1"/>
  <c r="I17" i="1"/>
  <c r="I13" i="1"/>
  <c r="I22" i="1"/>
  <c r="I16" i="1"/>
  <c r="I21" i="1"/>
  <c r="D24" i="1"/>
  <c r="D21" i="1"/>
  <c r="D10" i="1"/>
  <c r="D6" i="1"/>
  <c r="D14" i="1"/>
  <c r="D19" i="1"/>
  <c r="D12" i="1"/>
  <c r="D18" i="1"/>
  <c r="D25" i="1"/>
  <c r="D11" i="1"/>
  <c r="D13" i="1"/>
  <c r="D17" i="1"/>
  <c r="D16" i="1"/>
  <c r="D15" i="1"/>
  <c r="D22" i="1"/>
  <c r="D9" i="1"/>
  <c r="D8" i="1"/>
  <c r="D23" i="1"/>
  <c r="D7" i="1"/>
  <c r="D20" i="1"/>
  <c r="G13" i="1"/>
  <c r="G9" i="1"/>
  <c r="G24" i="1"/>
  <c r="G6" i="1"/>
  <c r="G8" i="1"/>
  <c r="G22" i="1"/>
  <c r="G14" i="1"/>
  <c r="G21" i="1"/>
  <c r="G25" i="1"/>
  <c r="G17" i="1"/>
  <c r="G20" i="1"/>
  <c r="G19" i="1"/>
  <c r="G10" i="1"/>
  <c r="G12" i="1"/>
  <c r="G16" i="1"/>
  <c r="G15" i="1"/>
  <c r="G11" i="1"/>
  <c r="G18" i="1"/>
  <c r="G7" i="1"/>
  <c r="G23" i="1"/>
  <c r="J23" i="1"/>
  <c r="J13" i="1"/>
  <c r="J12" i="1"/>
  <c r="J8" i="1"/>
  <c r="J20" i="1"/>
  <c r="J6" i="1"/>
  <c r="J7" i="1"/>
  <c r="J25" i="1"/>
  <c r="J9" i="1"/>
  <c r="J17" i="1"/>
  <c r="J24" i="1"/>
  <c r="J15" i="1"/>
  <c r="J16" i="1"/>
  <c r="J18" i="1"/>
  <c r="J14" i="1"/>
  <c r="J11" i="1"/>
  <c r="J10" i="1"/>
  <c r="J22" i="1"/>
  <c r="J19" i="1"/>
  <c r="J21" i="1"/>
</calcChain>
</file>

<file path=xl/sharedStrings.xml><?xml version="1.0" encoding="utf-8"?>
<sst xmlns="http://schemas.openxmlformats.org/spreadsheetml/2006/main" count="33" uniqueCount="33">
  <si>
    <t>PRAKTISERENDE LÆGERS ORGANISATION</t>
  </si>
  <si>
    <t>timer</t>
  </si>
  <si>
    <t>1. trin</t>
  </si>
  <si>
    <t>2. trin</t>
  </si>
  <si>
    <t>3. trin</t>
  </si>
  <si>
    <t>4. trin</t>
  </si>
  <si>
    <t>5. trin</t>
  </si>
  <si>
    <t>6. trin</t>
  </si>
  <si>
    <t>7. trin</t>
  </si>
  <si>
    <t>8. trin</t>
  </si>
  <si>
    <t>9. trin</t>
  </si>
  <si>
    <t>10. trin</t>
  </si>
  <si>
    <t>2    60%</t>
  </si>
  <si>
    <t>6    33%</t>
  </si>
  <si>
    <t>11   25%</t>
  </si>
  <si>
    <t>14   20%</t>
  </si>
  <si>
    <t>18   15%</t>
  </si>
  <si>
    <t>Ret her:</t>
  </si>
  <si>
    <t>Netto</t>
  </si>
  <si>
    <t>Brutto</t>
  </si>
  <si>
    <t>Terman Tranberg, Danske Regioner (tt@regioner.dk + 35 29 82 24) har 22. marts 2007 hjulpet med at oversætte henvisningen til den gl.. OK til gældende OK.</t>
  </si>
  <si>
    <t>Kopi af Overenskomst for overlæger mellem ARF og Foreningen af Speciallæger findes på: 'G:\LAK\Ad hoc\Bedriftlægers løn'.</t>
  </si>
  <si>
    <t xml:space="preserve">Arbejdsgivers pensionsbidrag, jf. aftale om løn- og ansættelsesvilkår for bedriftslæger mellem DA og PLO § 8 stk. 8. </t>
  </si>
  <si>
    <t>Antal ugl.</t>
  </si>
  <si>
    <t>Pensionsgivende grundløn, jf. overenskomst for overlæger § 4 stk. 1 - angivet i 31. marts 2018-niveau.</t>
  </si>
  <si>
    <t>Pensionsgivende funktionstillæg til overlæger, der ikke varetager formaliseret vagt, jf. overenskomst for overlæger § 5 stk. 2  - angivet i 31. marts 2018-niveau.</t>
  </si>
  <si>
    <t>Nettoløn (ekskl. pension) - angivet i 31. marts 2018-niveau.</t>
  </si>
  <si>
    <t>Nettoløn (ekskl. pension) - pct.reguleret til 1. april 2024-niveau.</t>
  </si>
  <si>
    <t>Bruttoløn for bedriftslæger pr. 1. oktober 2026</t>
  </si>
  <si>
    <t>Procentregulering pr 1. oktober 2026 - findes på KTOs eller på Danske Regioners hjemmeside.</t>
  </si>
  <si>
    <t>Link</t>
  </si>
  <si>
    <t>https://laeger.dk/media/4grh1bq1/endelig-dateret-og-underskrevet-overenskomst-for-overlaegerok24.pdf</t>
  </si>
  <si>
    <t>Nye grundlønstrin pr. 1. april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</si>
</sst>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0.0%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7"/>
      <name val="Verdana"/>
      <family val="2"/>
    </font>
    <font>
      <b/>
      <sz val="7"/>
      <color indexed="10"/>
      <name val="Verdana"/>
      <family val="2"/>
    </font>
    <font>
      <sz val="7.5"/>
      <name val="Verdana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 applyProtection="0"/>
    <xf numFmtId="16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quotePrefix="1" applyFont="1"/>
    <xf numFmtId="0" fontId="2" fillId="0" borderId="0" xfId="0" applyFont="1"/>
    <xf numFmtId="2" fontId="0" fillId="0" borderId="0" xfId="0" applyNumberFormat="1"/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4" fillId="0" borderId="0" xfId="0" applyFont="1"/>
    <xf numFmtId="2" fontId="4" fillId="0" borderId="0" xfId="0" applyNumberFormat="1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" fontId="4" fillId="0" borderId="5" xfId="0" applyNumberFormat="1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4" fontId="4" fillId="0" borderId="8" xfId="0" applyNumberFormat="1" applyFont="1" applyBorder="1"/>
    <xf numFmtId="4" fontId="4" fillId="0" borderId="0" xfId="0" applyNumberFormat="1" applyFont="1"/>
    <xf numFmtId="3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165" fontId="5" fillId="0" borderId="0" xfId="0" applyNumberFormat="1" applyFont="1"/>
    <xf numFmtId="0" fontId="3" fillId="0" borderId="9" xfId="0" applyFont="1" applyBorder="1" applyAlignment="1">
      <alignment horizontal="centerContinuous"/>
    </xf>
    <xf numFmtId="0" fontId="3" fillId="0" borderId="10" xfId="0" applyFont="1" applyBorder="1" applyAlignment="1">
      <alignment horizontal="center"/>
    </xf>
    <xf numFmtId="4" fontId="4" fillId="0" borderId="11" xfId="0" applyNumberFormat="1" applyFont="1" applyBorder="1"/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3" fillId="0" borderId="14" xfId="0" quotePrefix="1" applyFont="1" applyBorder="1" applyAlignment="1">
      <alignment horizontal="left"/>
    </xf>
    <xf numFmtId="0" fontId="3" fillId="0" borderId="15" xfId="0" quotePrefix="1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0" fontId="9" fillId="0" borderId="0" xfId="0" applyFont="1"/>
    <xf numFmtId="0" fontId="10" fillId="0" borderId="0" xfId="2"/>
    <xf numFmtId="3" fontId="5" fillId="2" borderId="0" xfId="3" applyNumberFormat="1" applyFont="1" applyFill="1"/>
    <xf numFmtId="0" fontId="0" fillId="2" borderId="0" xfId="0" applyFill="1"/>
    <xf numFmtId="0" fontId="11" fillId="0" borderId="0" xfId="3"/>
  </cellXfs>
  <cellStyles count="5">
    <cellStyle name="Komma 2" xfId="1" xr:uid="{00000000-0005-0000-0000-000000000000}"/>
    <cellStyle name="Komma 2 2" xfId="4" xr:uid="{029A8372-652F-4DFD-8951-924A01A7BAF0}"/>
    <cellStyle name="Link" xfId="2" builtinId="8"/>
    <cellStyle name="Normal" xfId="0" builtinId="0"/>
    <cellStyle name="Normal 2" xfId="3" xr:uid="{00303EAC-F95B-44CA-812E-3AE88F32FEE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orhandlingsfaellesskabet.dk/lontabeller/udvikling-i-procentreguleringer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zoomScale="130" zoomScaleNormal="130" workbookViewId="0">
      <selection activeCell="C38" sqref="C38"/>
    </sheetView>
  </sheetViews>
  <sheetFormatPr defaultColWidth="9.7109375" defaultRowHeight="12.75" x14ac:dyDescent="0.2"/>
  <cols>
    <col min="1" max="1" width="4.140625" customWidth="1"/>
    <col min="2" max="12" width="11.28515625" customWidth="1"/>
    <col min="13" max="13" width="1.28515625" customWidth="1"/>
    <col min="14" max="14" width="6" style="3" customWidth="1"/>
    <col min="15" max="15" width="3" bestFit="1" customWidth="1"/>
    <col min="16" max="16" width="4.5703125" bestFit="1" customWidth="1"/>
  </cols>
  <sheetData>
    <row r="1" spans="1:17" ht="20.25" x14ac:dyDescent="0.3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20.25" x14ac:dyDescent="0.3">
      <c r="B2" s="1" t="s">
        <v>28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7" ht="11.25" customHeight="1" thickBot="1" x14ac:dyDescent="0.35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7" x14ac:dyDescent="0.2">
      <c r="A4" s="30"/>
      <c r="B4" s="28" t="s">
        <v>23</v>
      </c>
      <c r="C4" s="21"/>
      <c r="D4" s="4"/>
      <c r="E4" s="4"/>
      <c r="F4" s="4"/>
      <c r="G4" s="4"/>
      <c r="H4" s="4"/>
      <c r="I4" s="4"/>
      <c r="J4" s="4"/>
      <c r="K4" s="4"/>
      <c r="L4" s="5"/>
      <c r="M4" s="6"/>
      <c r="N4" s="7"/>
      <c r="O4" s="6"/>
      <c r="P4" s="6"/>
      <c r="Q4" s="6"/>
    </row>
    <row r="5" spans="1:17" ht="13.5" thickBot="1" x14ac:dyDescent="0.25">
      <c r="B5" s="29" t="s">
        <v>1</v>
      </c>
      <c r="C5" s="22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9" t="s">
        <v>11</v>
      </c>
      <c r="M5" s="6"/>
      <c r="N5" s="7"/>
      <c r="O5" s="6"/>
      <c r="P5" s="6"/>
      <c r="Q5" s="6"/>
    </row>
    <row r="6" spans="1:17" x14ac:dyDescent="0.2">
      <c r="B6" s="24">
        <v>1</v>
      </c>
      <c r="C6" s="10">
        <f>SUM(C$27/37*$O6*(1+$P6))</f>
        <v>40221.160705297298</v>
      </c>
      <c r="D6" s="10">
        <f t="shared" ref="C6:L15" si="0">SUM(D$27/37*$O6*(1+$P6))</f>
        <v>40817.917462054058</v>
      </c>
      <c r="E6" s="10">
        <f t="shared" si="0"/>
        <v>41414.674218810811</v>
      </c>
      <c r="F6" s="10">
        <f t="shared" si="0"/>
        <v>42309.809353945951</v>
      </c>
      <c r="G6" s="10">
        <f t="shared" si="0"/>
        <v>42906.566110702697</v>
      </c>
      <c r="H6" s="10">
        <f t="shared" si="0"/>
        <v>43503.322867459457</v>
      </c>
      <c r="I6" s="10">
        <f t="shared" si="0"/>
        <v>44100.079624216218</v>
      </c>
      <c r="J6" s="10">
        <f t="shared" si="0"/>
        <v>44746.566110702697</v>
      </c>
      <c r="K6" s="10">
        <f t="shared" si="0"/>
        <v>45393.052597189198</v>
      </c>
      <c r="L6" s="10">
        <f>SUM(L$27/37*$O6*(1+$P6))</f>
        <v>45790.890435027031</v>
      </c>
      <c r="M6" s="6"/>
      <c r="N6" s="7"/>
      <c r="O6" s="6">
        <v>1</v>
      </c>
      <c r="P6" s="7">
        <f>3/5</f>
        <v>0.6</v>
      </c>
      <c r="Q6" s="6"/>
    </row>
    <row r="7" spans="1:17" x14ac:dyDescent="0.2">
      <c r="B7" s="24" t="s">
        <v>12</v>
      </c>
      <c r="C7" s="10">
        <f t="shared" si="0"/>
        <v>80442.321410594595</v>
      </c>
      <c r="D7" s="10">
        <f t="shared" si="0"/>
        <v>81635.834924108116</v>
      </c>
      <c r="E7" s="10">
        <f t="shared" si="0"/>
        <v>82829.348437621622</v>
      </c>
      <c r="F7" s="10">
        <f t="shared" si="0"/>
        <v>84619.618707891903</v>
      </c>
      <c r="G7" s="10">
        <f t="shared" si="0"/>
        <v>85813.132221405394</v>
      </c>
      <c r="H7" s="10">
        <f t="shared" si="0"/>
        <v>87006.645734918915</v>
      </c>
      <c r="I7" s="10">
        <f t="shared" si="0"/>
        <v>88200.159248432436</v>
      </c>
      <c r="J7" s="10">
        <f t="shared" si="0"/>
        <v>89493.132221405394</v>
      </c>
      <c r="K7" s="10">
        <f t="shared" si="0"/>
        <v>90786.105194378397</v>
      </c>
      <c r="L7" s="10">
        <f t="shared" si="0"/>
        <v>91581.780870054063</v>
      </c>
      <c r="M7" s="6"/>
      <c r="N7" s="7"/>
      <c r="O7" s="6">
        <v>2</v>
      </c>
      <c r="P7" s="7">
        <f>3/5</f>
        <v>0.6</v>
      </c>
      <c r="Q7" s="6"/>
    </row>
    <row r="8" spans="1:17" ht="13.5" thickBot="1" x14ac:dyDescent="0.25">
      <c r="B8" s="25">
        <v>3</v>
      </c>
      <c r="C8" s="11">
        <f t="shared" si="0"/>
        <v>120663.48211589188</v>
      </c>
      <c r="D8" s="11">
        <f t="shared" si="0"/>
        <v>122453.75238616216</v>
      </c>
      <c r="E8" s="11">
        <f t="shared" si="0"/>
        <v>124244.02265643243</v>
      </c>
      <c r="F8" s="11">
        <f t="shared" si="0"/>
        <v>126929.42806183785</v>
      </c>
      <c r="G8" s="11">
        <f t="shared" si="0"/>
        <v>128719.69833210809</v>
      </c>
      <c r="H8" s="11">
        <f t="shared" si="0"/>
        <v>130509.96860237837</v>
      </c>
      <c r="I8" s="11">
        <f t="shared" si="0"/>
        <v>132300.23887264865</v>
      </c>
      <c r="J8" s="11">
        <f t="shared" si="0"/>
        <v>134239.69833210809</v>
      </c>
      <c r="K8" s="11">
        <f t="shared" si="0"/>
        <v>136179.15779156759</v>
      </c>
      <c r="L8" s="11">
        <f t="shared" si="0"/>
        <v>137372.67130508108</v>
      </c>
      <c r="M8" s="6"/>
      <c r="N8" s="7"/>
      <c r="O8" s="6">
        <v>3</v>
      </c>
      <c r="P8" s="7">
        <f>3/5</f>
        <v>0.6</v>
      </c>
      <c r="Q8" s="6"/>
    </row>
    <row r="9" spans="1:17" x14ac:dyDescent="0.2">
      <c r="B9" s="24">
        <v>4</v>
      </c>
      <c r="C9" s="23">
        <f t="shared" si="0"/>
        <v>134070.53568432431</v>
      </c>
      <c r="D9" s="10">
        <f t="shared" si="0"/>
        <v>136059.72487351351</v>
      </c>
      <c r="E9" s="10">
        <f t="shared" si="0"/>
        <v>138048.91406270268</v>
      </c>
      <c r="F9" s="10">
        <f t="shared" si="0"/>
        <v>141032.69784648647</v>
      </c>
      <c r="G9" s="10">
        <f t="shared" si="0"/>
        <v>143021.88703567564</v>
      </c>
      <c r="H9" s="10">
        <f t="shared" si="0"/>
        <v>145011.07622486484</v>
      </c>
      <c r="I9" s="10">
        <f t="shared" si="0"/>
        <v>147000.26541405404</v>
      </c>
      <c r="J9" s="10">
        <f t="shared" si="0"/>
        <v>149155.22036900898</v>
      </c>
      <c r="K9" s="10">
        <f t="shared" si="0"/>
        <v>151310.17532396398</v>
      </c>
      <c r="L9" s="10">
        <f t="shared" si="0"/>
        <v>152636.30145009008</v>
      </c>
      <c r="M9" s="6"/>
      <c r="N9" s="7"/>
      <c r="O9" s="6">
        <v>4</v>
      </c>
      <c r="P9" s="7">
        <f t="shared" ref="P9:P14" si="1">1/3</f>
        <v>0.33333333333333331</v>
      </c>
      <c r="Q9" s="6"/>
    </row>
    <row r="10" spans="1:17" x14ac:dyDescent="0.2">
      <c r="B10" s="24">
        <v>5</v>
      </c>
      <c r="C10" s="10">
        <f t="shared" si="0"/>
        <v>167588.16960540539</v>
      </c>
      <c r="D10" s="10">
        <f t="shared" si="0"/>
        <v>170074.65609189187</v>
      </c>
      <c r="E10" s="10">
        <f t="shared" si="0"/>
        <v>172561.14257837838</v>
      </c>
      <c r="F10" s="10">
        <f t="shared" si="0"/>
        <v>176290.87230810808</v>
      </c>
      <c r="G10" s="10">
        <f t="shared" si="0"/>
        <v>178777.35879459456</v>
      </c>
      <c r="H10" s="10">
        <f t="shared" si="0"/>
        <v>181263.84528108104</v>
      </c>
      <c r="I10" s="10">
        <f t="shared" si="0"/>
        <v>183750.33176756755</v>
      </c>
      <c r="J10" s="10">
        <f t="shared" si="0"/>
        <v>186444.02546126122</v>
      </c>
      <c r="K10" s="10">
        <f t="shared" si="0"/>
        <v>189137.71915495495</v>
      </c>
      <c r="L10" s="10">
        <f t="shared" si="0"/>
        <v>190795.37681261264</v>
      </c>
      <c r="M10" s="6"/>
      <c r="N10" s="7"/>
      <c r="O10" s="6">
        <v>5</v>
      </c>
      <c r="P10" s="7">
        <f t="shared" si="1"/>
        <v>0.33333333333333331</v>
      </c>
      <c r="Q10" s="6"/>
    </row>
    <row r="11" spans="1:17" x14ac:dyDescent="0.2">
      <c r="B11" s="24" t="s">
        <v>13</v>
      </c>
      <c r="C11" s="10">
        <f t="shared" si="0"/>
        <v>201105.80352648644</v>
      </c>
      <c r="D11" s="10">
        <f t="shared" si="0"/>
        <v>204089.58731027023</v>
      </c>
      <c r="E11" s="10">
        <f t="shared" si="0"/>
        <v>207073.37109405402</v>
      </c>
      <c r="F11" s="10">
        <f t="shared" si="0"/>
        <v>211549.04676972973</v>
      </c>
      <c r="G11" s="10">
        <f t="shared" si="0"/>
        <v>214532.83055351349</v>
      </c>
      <c r="H11" s="10">
        <f t="shared" si="0"/>
        <v>217516.61433729727</v>
      </c>
      <c r="I11" s="10">
        <f t="shared" si="0"/>
        <v>220500.39812108106</v>
      </c>
      <c r="J11" s="10">
        <f t="shared" si="0"/>
        <v>223732.83055351349</v>
      </c>
      <c r="K11" s="10">
        <f t="shared" si="0"/>
        <v>226965.26298594597</v>
      </c>
      <c r="L11" s="10">
        <f t="shared" si="0"/>
        <v>228954.45217513514</v>
      </c>
      <c r="M11" s="6"/>
      <c r="N11" s="7"/>
      <c r="O11" s="6">
        <v>6</v>
      </c>
      <c r="P11" s="7">
        <f t="shared" si="1"/>
        <v>0.33333333333333331</v>
      </c>
      <c r="Q11" s="6"/>
    </row>
    <row r="12" spans="1:17" x14ac:dyDescent="0.2">
      <c r="B12" s="24">
        <v>7</v>
      </c>
      <c r="C12" s="10">
        <f t="shared" si="0"/>
        <v>234623.43744756753</v>
      </c>
      <c r="D12" s="10">
        <f t="shared" si="0"/>
        <v>238104.51852864865</v>
      </c>
      <c r="E12" s="10">
        <f t="shared" si="0"/>
        <v>241585.59960972972</v>
      </c>
      <c r="F12" s="10">
        <f t="shared" si="0"/>
        <v>246807.22123135132</v>
      </c>
      <c r="G12" s="10">
        <f t="shared" si="0"/>
        <v>250288.30231243238</v>
      </c>
      <c r="H12" s="10">
        <f t="shared" si="0"/>
        <v>253769.3833935135</v>
      </c>
      <c r="I12" s="10">
        <f t="shared" si="0"/>
        <v>257250.46447459457</v>
      </c>
      <c r="J12" s="10">
        <f t="shared" si="0"/>
        <v>261021.63564576572</v>
      </c>
      <c r="K12" s="10">
        <f t="shared" si="0"/>
        <v>264792.80681693694</v>
      </c>
      <c r="L12" s="10">
        <f t="shared" si="0"/>
        <v>267113.52753765765</v>
      </c>
      <c r="M12" s="6"/>
      <c r="N12" s="7"/>
      <c r="O12" s="6">
        <v>7</v>
      </c>
      <c r="P12" s="7">
        <f t="shared" si="1"/>
        <v>0.33333333333333331</v>
      </c>
      <c r="Q12" s="6"/>
    </row>
    <row r="13" spans="1:17" x14ac:dyDescent="0.2">
      <c r="B13" s="24">
        <v>8</v>
      </c>
      <c r="C13" s="10">
        <f t="shared" si="0"/>
        <v>268141.07136864861</v>
      </c>
      <c r="D13" s="10">
        <f t="shared" si="0"/>
        <v>272119.44974702701</v>
      </c>
      <c r="E13" s="10">
        <f t="shared" si="0"/>
        <v>276097.82812540536</v>
      </c>
      <c r="F13" s="10">
        <f t="shared" si="0"/>
        <v>282065.39569297293</v>
      </c>
      <c r="G13" s="10">
        <f t="shared" si="0"/>
        <v>286043.77407135128</v>
      </c>
      <c r="H13" s="10">
        <f t="shared" si="0"/>
        <v>290022.15244972968</v>
      </c>
      <c r="I13" s="10">
        <f t="shared" si="0"/>
        <v>294000.53082810808</v>
      </c>
      <c r="J13" s="10">
        <f t="shared" si="0"/>
        <v>298310.44073801796</v>
      </c>
      <c r="K13" s="10">
        <f t="shared" si="0"/>
        <v>302620.35064792796</v>
      </c>
      <c r="L13" s="10">
        <f t="shared" si="0"/>
        <v>305272.60290018015</v>
      </c>
      <c r="M13" s="6"/>
      <c r="N13" s="7"/>
      <c r="O13" s="6">
        <v>8</v>
      </c>
      <c r="P13" s="7">
        <f t="shared" si="1"/>
        <v>0.33333333333333331</v>
      </c>
      <c r="Q13" s="6"/>
    </row>
    <row r="14" spans="1:17" ht="13.5" thickBot="1" x14ac:dyDescent="0.25">
      <c r="B14" s="25">
        <v>9</v>
      </c>
      <c r="C14" s="11">
        <f t="shared" si="0"/>
        <v>301658.7052897297</v>
      </c>
      <c r="D14" s="11">
        <f t="shared" si="0"/>
        <v>306134.38096540538</v>
      </c>
      <c r="E14" s="11">
        <f t="shared" si="0"/>
        <v>310610.05664108106</v>
      </c>
      <c r="F14" s="11">
        <f t="shared" si="0"/>
        <v>317323.57015459461</v>
      </c>
      <c r="G14" s="11">
        <f t="shared" si="0"/>
        <v>321799.24583027023</v>
      </c>
      <c r="H14" s="11">
        <f t="shared" si="0"/>
        <v>326274.92150594585</v>
      </c>
      <c r="I14" s="11">
        <f t="shared" si="0"/>
        <v>330750.59718162159</v>
      </c>
      <c r="J14" s="11">
        <f t="shared" si="0"/>
        <v>335599.24583027023</v>
      </c>
      <c r="K14" s="11">
        <f t="shared" si="0"/>
        <v>340447.89447891893</v>
      </c>
      <c r="L14" s="11">
        <f t="shared" si="0"/>
        <v>343431.67826270271</v>
      </c>
      <c r="M14" s="6"/>
      <c r="N14" s="7"/>
      <c r="O14" s="6">
        <v>9</v>
      </c>
      <c r="P14" s="7">
        <f t="shared" si="1"/>
        <v>0.33333333333333331</v>
      </c>
      <c r="Q14" s="6"/>
    </row>
    <row r="15" spans="1:17" x14ac:dyDescent="0.2">
      <c r="B15" s="24">
        <v>10</v>
      </c>
      <c r="C15" s="10">
        <f t="shared" si="0"/>
        <v>314227.81801013515</v>
      </c>
      <c r="D15" s="10">
        <f t="shared" si="0"/>
        <v>318889.98017229728</v>
      </c>
      <c r="E15" s="10">
        <f t="shared" si="0"/>
        <v>323552.14233445947</v>
      </c>
      <c r="F15" s="10">
        <f t="shared" si="0"/>
        <v>330545.38557770266</v>
      </c>
      <c r="G15" s="10">
        <f t="shared" si="0"/>
        <v>335207.54773986479</v>
      </c>
      <c r="H15" s="10">
        <f t="shared" si="0"/>
        <v>339869.70990202692</v>
      </c>
      <c r="I15" s="10">
        <f t="shared" si="0"/>
        <v>344531.87206418917</v>
      </c>
      <c r="J15" s="10">
        <f t="shared" si="0"/>
        <v>349582.54773986479</v>
      </c>
      <c r="K15" s="10">
        <f t="shared" si="0"/>
        <v>354633.22341554053</v>
      </c>
      <c r="L15" s="10">
        <f t="shared" si="0"/>
        <v>357741.3315236487</v>
      </c>
      <c r="M15" s="6"/>
      <c r="N15" s="7"/>
      <c r="O15" s="6">
        <v>10</v>
      </c>
      <c r="P15" s="7">
        <f>1/4</f>
        <v>0.25</v>
      </c>
      <c r="Q15" s="6"/>
    </row>
    <row r="16" spans="1:17" x14ac:dyDescent="0.2">
      <c r="B16" s="24" t="s">
        <v>14</v>
      </c>
      <c r="C16" s="10">
        <f t="shared" ref="C16:L25" si="2">SUM(C$27/37*$O16*(1+$P16))</f>
        <v>345650.59981114866</v>
      </c>
      <c r="D16" s="10">
        <f t="shared" si="2"/>
        <v>350778.97818952706</v>
      </c>
      <c r="E16" s="10">
        <f t="shared" si="2"/>
        <v>355907.3565679054</v>
      </c>
      <c r="F16" s="10">
        <f t="shared" si="2"/>
        <v>363599.92413547297</v>
      </c>
      <c r="G16" s="10">
        <f t="shared" si="2"/>
        <v>368728.30251385132</v>
      </c>
      <c r="H16" s="10">
        <f t="shared" si="2"/>
        <v>373856.68089222972</v>
      </c>
      <c r="I16" s="10">
        <f t="shared" si="2"/>
        <v>378985.05927060801</v>
      </c>
      <c r="J16" s="10">
        <f t="shared" si="2"/>
        <v>384540.80251385132</v>
      </c>
      <c r="K16" s="10">
        <f t="shared" si="2"/>
        <v>390096.54575709463</v>
      </c>
      <c r="L16" s="10">
        <f t="shared" si="2"/>
        <v>393515.46467601351</v>
      </c>
      <c r="M16" s="6"/>
      <c r="N16" s="7"/>
      <c r="O16" s="6">
        <v>11</v>
      </c>
      <c r="P16" s="7">
        <f>1/4</f>
        <v>0.25</v>
      </c>
      <c r="Q16" s="6"/>
    </row>
    <row r="17" spans="2:17" ht="13.5" thickBot="1" x14ac:dyDescent="0.25">
      <c r="B17" s="25">
        <v>12</v>
      </c>
      <c r="C17" s="11">
        <f>SUM(C$27/37*$O17*(1+$P17))</f>
        <v>377073.38161216211</v>
      </c>
      <c r="D17" s="11">
        <f t="shared" si="2"/>
        <v>382667.97620675672</v>
      </c>
      <c r="E17" s="11">
        <f t="shared" si="2"/>
        <v>388262.57080135134</v>
      </c>
      <c r="F17" s="11">
        <f t="shared" si="2"/>
        <v>396654.46269324329</v>
      </c>
      <c r="G17" s="11">
        <f t="shared" si="2"/>
        <v>402249.05728783779</v>
      </c>
      <c r="H17" s="11">
        <f t="shared" si="2"/>
        <v>407843.6518824324</v>
      </c>
      <c r="I17" s="11">
        <f t="shared" si="2"/>
        <v>413438.24647702696</v>
      </c>
      <c r="J17" s="11">
        <f t="shared" si="2"/>
        <v>419499.05728783779</v>
      </c>
      <c r="K17" s="11">
        <f t="shared" si="2"/>
        <v>425559.86809864873</v>
      </c>
      <c r="L17" s="11">
        <f t="shared" si="2"/>
        <v>429289.59782837838</v>
      </c>
      <c r="M17" s="6"/>
      <c r="N17" s="7"/>
      <c r="O17" s="6">
        <v>12</v>
      </c>
      <c r="P17" s="7">
        <f>1/4</f>
        <v>0.25</v>
      </c>
      <c r="Q17" s="6"/>
    </row>
    <row r="18" spans="2:17" x14ac:dyDescent="0.2">
      <c r="B18" s="24">
        <v>13</v>
      </c>
      <c r="C18" s="10">
        <f t="shared" si="2"/>
        <v>392156.31687664863</v>
      </c>
      <c r="D18" s="10">
        <f t="shared" si="2"/>
        <v>397974.69525502698</v>
      </c>
      <c r="E18" s="10">
        <f t="shared" si="2"/>
        <v>403793.07363340538</v>
      </c>
      <c r="F18" s="10">
        <f t="shared" si="2"/>
        <v>412520.64120097301</v>
      </c>
      <c r="G18" s="10">
        <f t="shared" si="2"/>
        <v>418339.0195793513</v>
      </c>
      <c r="H18" s="10">
        <f t="shared" si="2"/>
        <v>424157.39795772964</v>
      </c>
      <c r="I18" s="10">
        <f t="shared" si="2"/>
        <v>429975.7763361081</v>
      </c>
      <c r="J18" s="10">
        <f t="shared" si="2"/>
        <v>436279.0195793513</v>
      </c>
      <c r="K18" s="10">
        <f t="shared" si="2"/>
        <v>442582.26282259461</v>
      </c>
      <c r="L18" s="10">
        <f t="shared" si="2"/>
        <v>446461.18174151354</v>
      </c>
      <c r="M18" s="6"/>
      <c r="N18" s="7"/>
      <c r="O18" s="6">
        <v>13</v>
      </c>
      <c r="P18" s="7">
        <f>1/5</f>
        <v>0.2</v>
      </c>
      <c r="Q18" s="6"/>
    </row>
    <row r="19" spans="2:17" x14ac:dyDescent="0.2">
      <c r="B19" s="24" t="s">
        <v>15</v>
      </c>
      <c r="C19" s="10">
        <f t="shared" si="2"/>
        <v>422322.18740562157</v>
      </c>
      <c r="D19" s="10">
        <f t="shared" si="2"/>
        <v>428588.13335156755</v>
      </c>
      <c r="E19" s="10">
        <f t="shared" si="2"/>
        <v>434854.07929751347</v>
      </c>
      <c r="F19" s="10">
        <f t="shared" si="2"/>
        <v>444252.9982164324</v>
      </c>
      <c r="G19" s="10">
        <f t="shared" si="2"/>
        <v>450518.94416237832</v>
      </c>
      <c r="H19" s="10">
        <f t="shared" si="2"/>
        <v>456784.8901083243</v>
      </c>
      <c r="I19" s="10">
        <f t="shared" si="2"/>
        <v>463050.83605427021</v>
      </c>
      <c r="J19" s="10">
        <f t="shared" si="2"/>
        <v>469838.94416237832</v>
      </c>
      <c r="K19" s="10">
        <f t="shared" si="2"/>
        <v>476627.05227048654</v>
      </c>
      <c r="L19" s="10">
        <f t="shared" si="2"/>
        <v>480804.34956778376</v>
      </c>
      <c r="M19" s="6"/>
      <c r="N19" s="7"/>
      <c r="O19" s="6">
        <v>14</v>
      </c>
      <c r="P19" s="7">
        <f>1/5</f>
        <v>0.2</v>
      </c>
      <c r="Q19" s="6"/>
    </row>
    <row r="20" spans="2:17" ht="13.5" thickBot="1" x14ac:dyDescent="0.25">
      <c r="B20" s="25">
        <v>15</v>
      </c>
      <c r="C20" s="11">
        <f t="shared" si="2"/>
        <v>452488.05793459457</v>
      </c>
      <c r="D20" s="11">
        <f t="shared" si="2"/>
        <v>459201.57144810806</v>
      </c>
      <c r="E20" s="11">
        <f t="shared" si="2"/>
        <v>465915.08496162161</v>
      </c>
      <c r="F20" s="11">
        <f t="shared" si="2"/>
        <v>475985.35523189185</v>
      </c>
      <c r="G20" s="11">
        <f t="shared" si="2"/>
        <v>482698.86874540534</v>
      </c>
      <c r="H20" s="11">
        <f t="shared" si="2"/>
        <v>489412.38225891883</v>
      </c>
      <c r="I20" s="11">
        <f t="shared" si="2"/>
        <v>496125.89577243233</v>
      </c>
      <c r="J20" s="11">
        <f t="shared" si="2"/>
        <v>503398.86874540534</v>
      </c>
      <c r="K20" s="11">
        <f t="shared" si="2"/>
        <v>510671.84171837836</v>
      </c>
      <c r="L20" s="11">
        <f t="shared" si="2"/>
        <v>515147.51739405404</v>
      </c>
      <c r="M20" s="6"/>
      <c r="N20" s="7"/>
      <c r="O20" s="6">
        <v>15</v>
      </c>
      <c r="P20" s="7">
        <f>1/5</f>
        <v>0.2</v>
      </c>
      <c r="Q20" s="6"/>
    </row>
    <row r="21" spans="2:17" x14ac:dyDescent="0.2">
      <c r="B21" s="24">
        <v>16</v>
      </c>
      <c r="C21" s="10">
        <f t="shared" si="2"/>
        <v>462543.34811091883</v>
      </c>
      <c r="D21" s="10">
        <f t="shared" si="2"/>
        <v>469406.05081362155</v>
      </c>
      <c r="E21" s="10">
        <f t="shared" si="2"/>
        <v>476268.75351632427</v>
      </c>
      <c r="F21" s="10">
        <f t="shared" si="2"/>
        <v>486562.80757037835</v>
      </c>
      <c r="G21" s="10">
        <f t="shared" si="2"/>
        <v>493425.51027308096</v>
      </c>
      <c r="H21" s="10">
        <f t="shared" si="2"/>
        <v>500288.21297578368</v>
      </c>
      <c r="I21" s="10">
        <f t="shared" si="2"/>
        <v>507150.9156784864</v>
      </c>
      <c r="J21" s="10">
        <f t="shared" si="2"/>
        <v>514585.51027308096</v>
      </c>
      <c r="K21" s="10">
        <f t="shared" si="2"/>
        <v>522020.10486767569</v>
      </c>
      <c r="L21" s="10">
        <f t="shared" si="2"/>
        <v>526595.24000281084</v>
      </c>
      <c r="M21" s="6"/>
      <c r="N21" s="7"/>
      <c r="O21" s="6">
        <v>16</v>
      </c>
      <c r="P21" s="7">
        <f>3/20</f>
        <v>0.15</v>
      </c>
      <c r="Q21" s="6"/>
    </row>
    <row r="22" spans="2:17" x14ac:dyDescent="0.2">
      <c r="B22" s="24">
        <v>17</v>
      </c>
      <c r="C22" s="10">
        <f t="shared" si="2"/>
        <v>491452.30736785126</v>
      </c>
      <c r="D22" s="10">
        <f t="shared" si="2"/>
        <v>498743.92898947292</v>
      </c>
      <c r="E22" s="10">
        <f t="shared" si="2"/>
        <v>506035.55061109457</v>
      </c>
      <c r="F22" s="10">
        <f t="shared" si="2"/>
        <v>516972.983043527</v>
      </c>
      <c r="G22" s="10">
        <f t="shared" si="2"/>
        <v>524264.60466514854</v>
      </c>
      <c r="H22" s="10">
        <f t="shared" si="2"/>
        <v>531556.22628677019</v>
      </c>
      <c r="I22" s="10">
        <f t="shared" si="2"/>
        <v>538847.84790839185</v>
      </c>
      <c r="J22" s="10">
        <f t="shared" si="2"/>
        <v>546747.10466514854</v>
      </c>
      <c r="K22" s="10">
        <f t="shared" si="2"/>
        <v>554646.36142190546</v>
      </c>
      <c r="L22" s="10">
        <f t="shared" si="2"/>
        <v>559507.44250298652</v>
      </c>
      <c r="M22" s="6"/>
      <c r="N22" s="7"/>
      <c r="O22" s="6">
        <v>17</v>
      </c>
      <c r="P22" s="7">
        <f>3/20</f>
        <v>0.15</v>
      </c>
      <c r="Q22" s="6"/>
    </row>
    <row r="23" spans="2:17" x14ac:dyDescent="0.2">
      <c r="B23" s="24" t="s">
        <v>16</v>
      </c>
      <c r="C23" s="10">
        <f t="shared" si="2"/>
        <v>520361.26662478375</v>
      </c>
      <c r="D23" s="10">
        <f t="shared" si="2"/>
        <v>528081.80716532422</v>
      </c>
      <c r="E23" s="10">
        <f t="shared" si="2"/>
        <v>535802.34770586481</v>
      </c>
      <c r="F23" s="10">
        <f t="shared" si="2"/>
        <v>547383.1585166757</v>
      </c>
      <c r="G23" s="10">
        <f t="shared" si="2"/>
        <v>555103.69905721606</v>
      </c>
      <c r="H23" s="10">
        <f t="shared" si="2"/>
        <v>562824.23959775665</v>
      </c>
      <c r="I23" s="10">
        <f t="shared" si="2"/>
        <v>570544.78013829724</v>
      </c>
      <c r="J23" s="10">
        <f t="shared" si="2"/>
        <v>578908.69905721606</v>
      </c>
      <c r="K23" s="10">
        <f t="shared" si="2"/>
        <v>587272.61797613511</v>
      </c>
      <c r="L23" s="10">
        <f t="shared" si="2"/>
        <v>592419.64500316221</v>
      </c>
      <c r="M23" s="6"/>
      <c r="N23" s="7"/>
      <c r="O23" s="6">
        <v>18</v>
      </c>
      <c r="P23" s="7">
        <f>3/20</f>
        <v>0.15</v>
      </c>
      <c r="Q23" s="6"/>
    </row>
    <row r="24" spans="2:17" x14ac:dyDescent="0.2">
      <c r="B24" s="24">
        <v>19</v>
      </c>
      <c r="C24" s="10">
        <f t="shared" si="2"/>
        <v>549270.22588171612</v>
      </c>
      <c r="D24" s="10">
        <f t="shared" si="2"/>
        <v>557419.68534117565</v>
      </c>
      <c r="E24" s="10">
        <f t="shared" si="2"/>
        <v>565569.14480063505</v>
      </c>
      <c r="F24" s="10">
        <f t="shared" si="2"/>
        <v>577793.33398982428</v>
      </c>
      <c r="G24" s="10">
        <f t="shared" si="2"/>
        <v>585942.79344928369</v>
      </c>
      <c r="H24" s="10">
        <f t="shared" si="2"/>
        <v>594092.2529087431</v>
      </c>
      <c r="I24" s="10">
        <f t="shared" si="2"/>
        <v>602241.71236820251</v>
      </c>
      <c r="J24" s="10">
        <f t="shared" si="2"/>
        <v>611070.29344928369</v>
      </c>
      <c r="K24" s="10">
        <f t="shared" si="2"/>
        <v>619898.87453036488</v>
      </c>
      <c r="L24" s="10">
        <f t="shared" si="2"/>
        <v>625331.84750333778</v>
      </c>
      <c r="M24" s="6"/>
      <c r="N24" s="7"/>
      <c r="O24" s="6">
        <v>19</v>
      </c>
      <c r="P24" s="7">
        <f>3/20</f>
        <v>0.15</v>
      </c>
      <c r="Q24" s="6"/>
    </row>
    <row r="25" spans="2:17" ht="13.5" thickBot="1" x14ac:dyDescent="0.25">
      <c r="B25" s="25">
        <v>20</v>
      </c>
      <c r="C25" s="11">
        <f>SUM(C$27/37*$O25*(1+$P25))</f>
        <v>578179.18513864861</v>
      </c>
      <c r="D25" s="11">
        <f t="shared" si="2"/>
        <v>586757.56351702695</v>
      </c>
      <c r="E25" s="11">
        <f t="shared" si="2"/>
        <v>595335.94189540541</v>
      </c>
      <c r="F25" s="11">
        <f t="shared" si="2"/>
        <v>608203.50946297287</v>
      </c>
      <c r="G25" s="11">
        <f t="shared" si="2"/>
        <v>616781.88784135121</v>
      </c>
      <c r="H25" s="11">
        <f t="shared" si="2"/>
        <v>625360.26621972956</v>
      </c>
      <c r="I25" s="11">
        <f t="shared" si="2"/>
        <v>633938.64459810802</v>
      </c>
      <c r="J25" s="11">
        <f t="shared" si="2"/>
        <v>643231.88784135121</v>
      </c>
      <c r="K25" s="11">
        <f t="shared" si="2"/>
        <v>652525.13108459453</v>
      </c>
      <c r="L25" s="11">
        <f t="shared" si="2"/>
        <v>658244.05000351358</v>
      </c>
      <c r="M25" s="6"/>
      <c r="N25" s="7"/>
      <c r="O25" s="6">
        <v>20</v>
      </c>
      <c r="P25" s="7">
        <f>3/20</f>
        <v>0.15</v>
      </c>
      <c r="Q25" s="6"/>
    </row>
    <row r="26" spans="2:17" x14ac:dyDescent="0.2">
      <c r="B26" s="26" t="s">
        <v>18</v>
      </c>
      <c r="C26" s="12">
        <f>SUM(L26-112000)</f>
        <v>808795.07940000005</v>
      </c>
      <c r="D26" s="12">
        <f>SUM(L26-100000)</f>
        <v>820795.07940000005</v>
      </c>
      <c r="E26" s="12">
        <f>SUM(L26-88000)</f>
        <v>832795.07940000005</v>
      </c>
      <c r="F26" s="12">
        <f>SUM(L26-70000)</f>
        <v>850795.07940000005</v>
      </c>
      <c r="G26" s="12">
        <f>SUM(L26-58000)</f>
        <v>862795.07940000005</v>
      </c>
      <c r="H26" s="12">
        <f>SUM(L26-46000)</f>
        <v>874795.07940000005</v>
      </c>
      <c r="I26" s="12">
        <f>SUM(L26-34000)</f>
        <v>886795.07940000005</v>
      </c>
      <c r="J26" s="12">
        <f>SUM(L26-21000)</f>
        <v>899795.07940000005</v>
      </c>
      <c r="K26" s="12">
        <f>SUM(L26-8000)</f>
        <v>912795.07940000005</v>
      </c>
      <c r="L26" s="12">
        <f>C34</f>
        <v>920795.07940000005</v>
      </c>
      <c r="M26" s="7"/>
      <c r="N26" s="7"/>
      <c r="O26" s="7"/>
      <c r="P26" s="7"/>
      <c r="Q26" s="6"/>
    </row>
    <row r="27" spans="2:17" ht="13.5" thickBot="1" x14ac:dyDescent="0.25">
      <c r="B27" s="27" t="s">
        <v>19</v>
      </c>
      <c r="C27" s="13">
        <f>SUM(C26*(1+$C31))</f>
        <v>930114.34130999993</v>
      </c>
      <c r="D27" s="13">
        <f t="shared" ref="D27:K27" si="3">SUM(D26*(1+$C31))</f>
        <v>943914.34130999993</v>
      </c>
      <c r="E27" s="13">
        <f t="shared" si="3"/>
        <v>957714.34130999993</v>
      </c>
      <c r="F27" s="13">
        <f t="shared" si="3"/>
        <v>978414.34130999993</v>
      </c>
      <c r="G27" s="13">
        <f t="shared" si="3"/>
        <v>992214.34130999993</v>
      </c>
      <c r="H27" s="13">
        <f t="shared" si="3"/>
        <v>1006014.3413099999</v>
      </c>
      <c r="I27" s="13">
        <f t="shared" si="3"/>
        <v>1019814.3413099999</v>
      </c>
      <c r="J27" s="13">
        <f t="shared" si="3"/>
        <v>1034764.3413099999</v>
      </c>
      <c r="K27" s="13">
        <f t="shared" si="3"/>
        <v>1049714.34131</v>
      </c>
      <c r="L27" s="13">
        <f>SUM(L26*(1+$C31))</f>
        <v>1058914.34131</v>
      </c>
      <c r="M27" s="6"/>
      <c r="N27" s="7"/>
      <c r="O27" s="6"/>
      <c r="P27" s="6"/>
      <c r="Q27" s="6"/>
    </row>
    <row r="28" spans="2:17" x14ac:dyDescent="0.2">
      <c r="B28" s="6"/>
      <c r="C28" s="14"/>
      <c r="D28" s="6"/>
      <c r="E28" s="6"/>
      <c r="F28" s="6"/>
      <c r="G28" s="6"/>
      <c r="H28" s="6"/>
      <c r="I28" s="6"/>
      <c r="J28" s="6"/>
      <c r="K28" s="6"/>
      <c r="L28" s="6"/>
      <c r="M28" s="6"/>
      <c r="N28" s="7"/>
      <c r="O28" s="6"/>
      <c r="P28" s="6"/>
      <c r="Q28" s="6"/>
    </row>
    <row r="29" spans="2:17" x14ac:dyDescent="0.2">
      <c r="B29" s="15"/>
      <c r="C29" s="32">
        <v>764380</v>
      </c>
      <c r="D29" s="16" t="s">
        <v>24</v>
      </c>
      <c r="E29" s="16"/>
      <c r="F29" s="16"/>
      <c r="G29" s="16"/>
      <c r="H29" s="16"/>
      <c r="I29" s="16"/>
      <c r="J29" s="18"/>
      <c r="K29" s="18"/>
      <c r="L29" s="18"/>
      <c r="M29" s="6"/>
      <c r="N29" s="7"/>
      <c r="O29" s="6"/>
      <c r="P29" s="6"/>
      <c r="Q29" s="6"/>
    </row>
    <row r="30" spans="2:17" x14ac:dyDescent="0.2">
      <c r="B30" s="16"/>
      <c r="C30" s="15">
        <v>0</v>
      </c>
      <c r="D30" s="16" t="s">
        <v>25</v>
      </c>
      <c r="E30" s="16"/>
      <c r="F30" s="16"/>
      <c r="G30" s="16"/>
      <c r="H30" s="16"/>
      <c r="I30" s="16"/>
      <c r="J30" s="18"/>
      <c r="K30" s="18"/>
      <c r="L30" s="18"/>
      <c r="M30" s="6"/>
      <c r="N30" s="7"/>
      <c r="O30" s="6"/>
      <c r="P30" s="6"/>
      <c r="Q30" s="6"/>
    </row>
    <row r="31" spans="2:17" x14ac:dyDescent="0.2">
      <c r="B31" s="16"/>
      <c r="C31" s="20">
        <f>0.15</f>
        <v>0.15</v>
      </c>
      <c r="D31" s="16" t="s">
        <v>22</v>
      </c>
      <c r="E31" s="16"/>
      <c r="F31" s="16"/>
      <c r="G31" s="16"/>
      <c r="H31" s="16"/>
      <c r="I31" s="16"/>
      <c r="J31" s="18"/>
      <c r="K31" s="18"/>
      <c r="L31" s="18"/>
      <c r="M31" s="6"/>
      <c r="N31" s="7"/>
      <c r="O31" s="6"/>
      <c r="P31" s="6"/>
      <c r="Q31" s="6"/>
    </row>
    <row r="32" spans="2:17" x14ac:dyDescent="0.2">
      <c r="B32" s="16"/>
      <c r="C32" s="15">
        <f>SUM(C29:C30)</f>
        <v>764380</v>
      </c>
      <c r="D32" s="16" t="s">
        <v>26</v>
      </c>
      <c r="E32" s="16"/>
      <c r="F32" s="16"/>
      <c r="G32" s="16"/>
      <c r="H32" s="16"/>
      <c r="I32" s="16"/>
      <c r="J32" s="18"/>
      <c r="K32" s="18"/>
      <c r="L32" s="18"/>
      <c r="M32" s="6"/>
      <c r="N32" s="7"/>
      <c r="O32" s="6"/>
      <c r="P32" s="6"/>
      <c r="Q32" s="6"/>
    </row>
    <row r="33" spans="2:17" x14ac:dyDescent="0.2">
      <c r="B33" s="17" t="s">
        <v>17</v>
      </c>
      <c r="C33" s="33">
        <v>1.2046300000000001</v>
      </c>
      <c r="D33" s="19" t="s">
        <v>29</v>
      </c>
      <c r="E33" s="16"/>
      <c r="F33" s="16"/>
      <c r="G33" s="16"/>
      <c r="H33" s="16"/>
      <c r="I33" s="16"/>
      <c r="J33" s="18"/>
      <c r="K33" s="31" t="s">
        <v>30</v>
      </c>
      <c r="L33" s="18"/>
      <c r="M33" s="6"/>
      <c r="N33" s="7"/>
      <c r="O33" s="6"/>
      <c r="P33" s="6"/>
      <c r="Q33" s="6"/>
    </row>
    <row r="34" spans="2:17" x14ac:dyDescent="0.2">
      <c r="B34" s="16"/>
      <c r="C34" s="15">
        <f>C32*C33</f>
        <v>920795.07940000005</v>
      </c>
      <c r="D34" s="16" t="s">
        <v>27</v>
      </c>
      <c r="E34" s="16"/>
      <c r="F34" s="16"/>
      <c r="G34" s="16"/>
      <c r="H34" s="16"/>
      <c r="I34" s="16"/>
      <c r="J34" s="18"/>
      <c r="K34" s="18"/>
      <c r="L34" s="18"/>
      <c r="M34" s="6"/>
      <c r="N34" s="7"/>
      <c r="O34" s="6"/>
      <c r="P34" s="6"/>
      <c r="Q34" s="6"/>
    </row>
    <row r="36" spans="2:17" x14ac:dyDescent="0.2">
      <c r="C36" s="15" t="s">
        <v>21</v>
      </c>
    </row>
    <row r="37" spans="2:17" x14ac:dyDescent="0.2">
      <c r="C37" s="15" t="s">
        <v>20</v>
      </c>
    </row>
    <row r="38" spans="2:17" x14ac:dyDescent="0.2">
      <c r="C38" s="34" t="s">
        <v>31</v>
      </c>
    </row>
    <row r="39" spans="2:17" x14ac:dyDescent="0.2">
      <c r="C39" s="34" t="s">
        <v>32</v>
      </c>
    </row>
  </sheetData>
  <phoneticPr fontId="0" type="noConversion"/>
  <hyperlinks>
    <hyperlink ref="K33" r:id="rId1" xr:uid="{E29CAE13-8613-4851-9BDA-4507558EB48B}"/>
  </hyperlinks>
  <pageMargins left="0.78740157480314965" right="0.78740157480314965" top="0.98425196850393704" bottom="0.98425196850393704" header="0.51181102362204722" footer="0.51181102362204722"/>
  <pageSetup paperSize="9" orientation="landscape" horizont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SMoveSetID xmlns="96fd3fd9-c0c1-4da3-a546-0fadb9cc28d7">1</TSMoveSet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E31680E1A3EA4A99D2CF7EBCBF4AB6" ma:contentTypeVersion="1" ma:contentTypeDescription="Create a new document." ma:contentTypeScope="" ma:versionID="5ed5ce2370e047b75ee4ef9175b319fd">
  <xsd:schema xmlns:xsd="http://www.w3.org/2001/XMLSchema" xmlns:xs="http://www.w3.org/2001/XMLSchema" xmlns:p="http://schemas.microsoft.com/office/2006/metadata/properties" xmlns:ns2="96fd3fd9-c0c1-4da3-a546-0fadb9cc28d7" targetNamespace="http://schemas.microsoft.com/office/2006/metadata/properties" ma:root="true" ma:fieldsID="12585c09b94a2afd05a07cbf44081607" ns2:_="">
    <xsd:import namespace="96fd3fd9-c0c1-4da3-a546-0fadb9cc28d7"/>
    <xsd:element name="properties">
      <xsd:complexType>
        <xsd:sequence>
          <xsd:element name="documentManagement">
            <xsd:complexType>
              <xsd:all>
                <xsd:element ref="ns2:TSMoveSe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d3fd9-c0c1-4da3-a546-0fadb9cc28d7" elementFormDefault="qualified">
    <xsd:import namespace="http://schemas.microsoft.com/office/2006/documentManagement/types"/>
    <xsd:import namespace="http://schemas.microsoft.com/office/infopath/2007/PartnerControls"/>
    <xsd:element name="TSMoveSetID" ma:index="8" nillable="true" ma:displayName="TSMoveSetID" ma:description="TSMoveSetID" ma:internalName="TSMoveSetID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8D7D84-606E-46AE-AA4C-8E0888B5F219}">
  <ds:schemaRefs>
    <ds:schemaRef ds:uri="http://schemas.microsoft.com/office/2006/metadata/properties"/>
    <ds:schemaRef ds:uri="http://schemas.microsoft.com/office/infopath/2007/PartnerControls"/>
    <ds:schemaRef ds:uri="96fd3fd9-c0c1-4da3-a546-0fadb9cc28d7"/>
  </ds:schemaRefs>
</ds:datastoreItem>
</file>

<file path=customXml/itemProps2.xml><?xml version="1.0" encoding="utf-8"?>
<ds:datastoreItem xmlns:ds="http://schemas.openxmlformats.org/officeDocument/2006/customXml" ds:itemID="{BE2E0B0C-86A8-4854-9F24-8082332F2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54B863-2B3A-4643-8C51-70B0FFA95E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fd3fd9-c0c1-4da3-a546-0fadb9cc28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Ark1</vt:lpstr>
      <vt:lpstr>'Ark1'!Udskriftsområde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bedriftslægeløn 1.4.94</dc:title>
  <dc:creator>Hanne</dc:creator>
  <cp:lastModifiedBy>Josephine Haumann</cp:lastModifiedBy>
  <cp:lastPrinted>2013-09-06T09:31:21Z</cp:lastPrinted>
  <dcterms:created xsi:type="dcterms:W3CDTF">1998-09-17T16:23:09Z</dcterms:created>
  <dcterms:modified xsi:type="dcterms:W3CDTF">2026-10-19T12:31:27Z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0x010100C4E31680E1A3EA4A99D2CF7EBCBF4AB6</vt:lpwstr>
  </property>
</Properties>
</file>